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PUBBLICATO/10 - Bandi di gara e contratti/02 - Pubblicazioni ex art. 1, comma 32, della legge n. 1902012/"/>
    </mc:Choice>
  </mc:AlternateContent>
  <xr:revisionPtr revIDLastSave="0" documentId="8_{BABA0AD2-0020-4935-9857-56B3E0E3ECE3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in" sheetId="1" r:id="rId1"/>
  </sheets>
  <definedNames>
    <definedName name="_xlnm._FilterDatabase" localSheetId="0" hidden="1">in!$A$3:$N$70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H68" i="1"/>
  <c r="H61" i="1"/>
  <c r="H60" i="1"/>
  <c r="H62" i="1"/>
  <c r="H10" i="1"/>
  <c r="H51" i="1"/>
  <c r="H53" i="1"/>
  <c r="H66" i="1"/>
  <c r="H30" i="1"/>
  <c r="H28" i="1"/>
  <c r="H27" i="1"/>
  <c r="H26" i="1"/>
  <c r="H37" i="1"/>
  <c r="H38" i="1"/>
  <c r="H50" i="1" l="1"/>
  <c r="E50" i="1"/>
  <c r="D50" i="1"/>
  <c r="A50" i="1"/>
  <c r="H48" i="1"/>
  <c r="E48" i="1"/>
  <c r="D48" i="1"/>
  <c r="A48" i="1"/>
  <c r="A47" i="1"/>
  <c r="A45" i="1"/>
  <c r="H47" i="1"/>
  <c r="E47" i="1"/>
  <c r="D47" i="1"/>
  <c r="H45" i="1"/>
  <c r="E45" i="1"/>
  <c r="D45" i="1"/>
  <c r="A46" i="1"/>
  <c r="A51" i="1"/>
  <c r="D51" i="1"/>
  <c r="E51" i="1"/>
  <c r="F51" i="1"/>
  <c r="G51" i="1"/>
  <c r="H43" i="1"/>
  <c r="D43" i="1"/>
  <c r="H42" i="1"/>
  <c r="D42" i="1"/>
  <c r="H41" i="1"/>
  <c r="D41" i="1"/>
  <c r="H40" i="1"/>
  <c r="D40" i="1"/>
  <c r="H36" i="1"/>
  <c r="H35" i="1"/>
  <c r="H34" i="1"/>
  <c r="H24" i="1"/>
  <c r="D24" i="1"/>
  <c r="H21" i="1" l="1"/>
  <c r="D21" i="1"/>
  <c r="H18" i="1"/>
  <c r="D18" i="1"/>
  <c r="H8" i="1"/>
  <c r="D8" i="1"/>
  <c r="H7" i="1"/>
  <c r="D7" i="1"/>
  <c r="H20" i="1"/>
  <c r="D20" i="1"/>
  <c r="H9" i="1"/>
  <c r="D9" i="1"/>
  <c r="D38" i="1"/>
  <c r="D30" i="1"/>
  <c r="H29" i="1"/>
  <c r="D29" i="1"/>
  <c r="D28" i="1"/>
  <c r="D27" i="1"/>
  <c r="D26" i="1"/>
  <c r="H39" i="1"/>
  <c r="D39" i="1"/>
  <c r="H3" i="1"/>
  <c r="D3" i="1"/>
  <c r="D37" i="1"/>
  <c r="E36" i="1"/>
  <c r="D36" i="1"/>
  <c r="E35" i="1"/>
  <c r="D35" i="1"/>
  <c r="E34" i="1"/>
  <c r="D34" i="1"/>
  <c r="H33" i="1"/>
  <c r="E33" i="1"/>
  <c r="D33" i="1"/>
  <c r="H32" i="1"/>
  <c r="E32" i="1"/>
  <c r="E31" i="1"/>
  <c r="D32" i="1"/>
  <c r="H31" i="1"/>
  <c r="D31" i="1"/>
  <c r="A57" i="1"/>
  <c r="H23" i="1"/>
  <c r="D23" i="1"/>
  <c r="H22" i="1"/>
  <c r="D22" i="1"/>
  <c r="H19" i="1"/>
  <c r="D19" i="1"/>
  <c r="H17" i="1"/>
  <c r="D17" i="1"/>
  <c r="H16" i="1"/>
  <c r="D16" i="1"/>
  <c r="H15" i="1"/>
  <c r="D15" i="1"/>
  <c r="H14" i="1"/>
  <c r="D14" i="1"/>
  <c r="D10" i="1"/>
  <c r="D13" i="1"/>
  <c r="D12" i="1"/>
  <c r="D11" i="1"/>
  <c r="D4" i="1"/>
  <c r="D5" i="1"/>
  <c r="H13" i="1"/>
  <c r="H12" i="1"/>
  <c r="H11" i="1"/>
  <c r="H4" i="1"/>
  <c r="H5" i="1"/>
  <c r="A54" i="1"/>
  <c r="A69" i="1"/>
  <c r="A68" i="1"/>
  <c r="A70" i="1"/>
  <c r="A67" i="1"/>
  <c r="A65" i="1"/>
  <c r="A64" i="1"/>
  <c r="A62" i="1"/>
  <c r="A61" i="1"/>
  <c r="A60" i="1"/>
  <c r="A58" i="1"/>
  <c r="A56" i="1"/>
  <c r="A55" i="1"/>
  <c r="A53" i="1"/>
  <c r="A52" i="1"/>
  <c r="A49" i="1"/>
  <c r="A63" i="1"/>
  <c r="A44" i="1"/>
  <c r="A6" i="1"/>
  <c r="E69" i="1"/>
  <c r="E68" i="1"/>
  <c r="E70" i="1"/>
  <c r="E67" i="1"/>
  <c r="E65" i="1"/>
  <c r="E64" i="1"/>
  <c r="E62" i="1"/>
  <c r="E61" i="1"/>
  <c r="E60" i="1"/>
  <c r="E59" i="1"/>
  <c r="E58" i="1"/>
  <c r="E57" i="1"/>
  <c r="E56" i="1"/>
  <c r="E66" i="1"/>
  <c r="E55" i="1"/>
  <c r="E54" i="1"/>
  <c r="E53" i="1"/>
  <c r="E52" i="1"/>
  <c r="E49" i="1"/>
  <c r="E63" i="1"/>
  <c r="E46" i="1"/>
  <c r="E44" i="1"/>
  <c r="E6" i="1"/>
  <c r="D69" i="1"/>
  <c r="D68" i="1"/>
  <c r="D70" i="1"/>
  <c r="D67" i="1"/>
  <c r="D65" i="1"/>
  <c r="D64" i="1"/>
  <c r="D62" i="1"/>
  <c r="D61" i="1"/>
  <c r="D60" i="1"/>
  <c r="D59" i="1"/>
  <c r="D58" i="1"/>
  <c r="D57" i="1"/>
  <c r="D56" i="1"/>
  <c r="D66" i="1"/>
  <c r="D55" i="1"/>
  <c r="D54" i="1"/>
  <c r="D53" i="1"/>
  <c r="D52" i="1"/>
  <c r="D49" i="1"/>
  <c r="D63" i="1"/>
  <c r="D46" i="1"/>
  <c r="D25" i="1"/>
  <c r="D44" i="1"/>
  <c r="D6" i="1"/>
  <c r="F6" i="1"/>
  <c r="G6" i="1"/>
  <c r="H6" i="1"/>
  <c r="L6" i="1"/>
  <c r="F44" i="1"/>
  <c r="G44" i="1"/>
  <c r="H44" i="1"/>
  <c r="F25" i="1"/>
  <c r="G25" i="1"/>
  <c r="H25" i="1"/>
  <c r="L25" i="1"/>
  <c r="F46" i="1"/>
  <c r="G46" i="1"/>
  <c r="H46" i="1"/>
  <c r="L46" i="1"/>
  <c r="F63" i="1"/>
  <c r="G63" i="1"/>
  <c r="H63" i="1"/>
  <c r="L63" i="1"/>
  <c r="F49" i="1"/>
  <c r="G49" i="1"/>
  <c r="H49" i="1"/>
  <c r="F52" i="1"/>
  <c r="G52" i="1"/>
  <c r="H52" i="1"/>
  <c r="F53" i="1"/>
  <c r="G53" i="1"/>
  <c r="F54" i="1"/>
  <c r="G54" i="1"/>
  <c r="H54" i="1"/>
  <c r="L54" i="1"/>
  <c r="F55" i="1"/>
  <c r="G55" i="1"/>
  <c r="H55" i="1"/>
  <c r="L55" i="1"/>
  <c r="F66" i="1"/>
  <c r="G66" i="1"/>
  <c r="F56" i="1"/>
  <c r="G56" i="1"/>
  <c r="F57" i="1"/>
  <c r="G57" i="1"/>
  <c r="F58" i="1"/>
  <c r="G58" i="1"/>
  <c r="H58" i="1"/>
  <c r="L58" i="1"/>
  <c r="F59" i="1"/>
  <c r="G59" i="1"/>
  <c r="H59" i="1"/>
  <c r="L59" i="1"/>
  <c r="F60" i="1"/>
  <c r="G60" i="1"/>
  <c r="F61" i="1"/>
  <c r="G61" i="1"/>
  <c r="F62" i="1"/>
  <c r="G62" i="1"/>
  <c r="F64" i="1"/>
  <c r="G64" i="1"/>
  <c r="H64" i="1"/>
  <c r="L64" i="1"/>
  <c r="F65" i="1"/>
  <c r="G65" i="1"/>
  <c r="H65" i="1"/>
  <c r="L65" i="1"/>
  <c r="F67" i="1"/>
  <c r="G67" i="1"/>
  <c r="H67" i="1"/>
  <c r="L67" i="1"/>
  <c r="F70" i="1"/>
  <c r="G70" i="1"/>
  <c r="H70" i="1"/>
  <c r="L70" i="1"/>
  <c r="F68" i="1"/>
  <c r="G68" i="1"/>
  <c r="F69" i="1"/>
  <c r="G69" i="1"/>
  <c r="H69" i="1"/>
  <c r="L69" i="1"/>
</calcChain>
</file>

<file path=xl/sharedStrings.xml><?xml version="1.0" encoding="utf-8"?>
<sst xmlns="http://schemas.openxmlformats.org/spreadsheetml/2006/main" count="425" uniqueCount="219">
  <si>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</si>
  <si>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</si>
  <si>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</si>
  <si>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</si>
  <si>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</si>
  <si>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</si>
  <si>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</si>
  <si>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Importo di aggiudicazione al netto dell'IVA</t>
  </si>
  <si>
    <t>Anno di riferimento</t>
  </si>
  <si>
    <t>Data di effettivo inizio dei lavori o forniture</t>
  </si>
  <si>
    <t>Data di ultimazione dei lavori o forniture</t>
  </si>
  <si>
    <t>Importo liquidato</t>
  </si>
  <si>
    <t>Data ultimo pagamento</t>
  </si>
  <si>
    <t>Delibera a contrarre</t>
  </si>
  <si>
    <t>Servizio di RSPP e messa a disposizione del Medico Competente</t>
  </si>
  <si>
    <t>Forma Camera</t>
  </si>
  <si>
    <t>08801501001</t>
  </si>
  <si>
    <t>ZE93995A84</t>
  </si>
  <si>
    <t>TecnoService Camere c.f. 04786421000</t>
  </si>
  <si>
    <t>220/2022</t>
  </si>
  <si>
    <t>Assistenza e consulenza del lavoro anno 2023</t>
  </si>
  <si>
    <t>0000000000</t>
  </si>
  <si>
    <t>Bonuglia Rita c.f. 02406390589</t>
  </si>
  <si>
    <t>221/2022</t>
  </si>
  <si>
    <t>Assistenza fiscale anno 2023</t>
  </si>
  <si>
    <t>Grimani Mauro c.f. 08914870582</t>
  </si>
  <si>
    <t>222/2022</t>
  </si>
  <si>
    <t>Progetto "Project Management Europa 2030" Assistemza e mantenimento accreditamento</t>
  </si>
  <si>
    <t>Z813958B5A</t>
  </si>
  <si>
    <t>MMG Formazione srl c.f. 11733641002</t>
  </si>
  <si>
    <t>232/2022</t>
  </si>
  <si>
    <t xml:space="preserve">Manutenzione sistema rileìvazione presenze </t>
  </si>
  <si>
    <t>Z9739EC945</t>
  </si>
  <si>
    <t>Eltime srl c.f. 03717821007</t>
  </si>
  <si>
    <t>233/2023</t>
  </si>
  <si>
    <t>Rinnovo software contabilità TS Vialibera</t>
  </si>
  <si>
    <t>ZB23AF38E0</t>
  </si>
  <si>
    <t>Team System spa c.f. 01035310414</t>
  </si>
  <si>
    <t>236/2022</t>
  </si>
  <si>
    <t>Percorso PCTO "Dietro le quinte"</t>
  </si>
  <si>
    <t>01/2023</t>
  </si>
  <si>
    <t>Progetto "Competenze per Orientare e formare al lavoro" Laboratorio mestieri "Frida Khalo; Monet; Van Gogh"</t>
  </si>
  <si>
    <t>Ricci Marina c.f. 13448841000</t>
  </si>
  <si>
    <t>02/2023</t>
  </si>
  <si>
    <t>Lepore Concetta c.f. 11407491007</t>
  </si>
  <si>
    <t>03/2023</t>
  </si>
  <si>
    <t>Gilone Barbara c.f. 13848781004</t>
  </si>
  <si>
    <t>04/2023</t>
  </si>
  <si>
    <t>Progetto "Competenze per Orientare e formare al lavoro" Laboratorio mestieri "Lezioni di cinema"</t>
  </si>
  <si>
    <t>05/2023</t>
  </si>
  <si>
    <t>Progetto "Competenze per Orientare e formare al lavoro" Laboratorio mestieri "Mediazione linguistica"</t>
  </si>
  <si>
    <t>Attanasio Giorgiana c.f. 16518221003</t>
  </si>
  <si>
    <t>06/2023</t>
  </si>
  <si>
    <t>Progetto "Competenze per Orientare e formare al lavoro" Laboratorio mestieri "Orafo"</t>
  </si>
  <si>
    <t>07/2023</t>
  </si>
  <si>
    <t>Progetto "Competenze per Orientare e formare al lavoro" Laboratorio mestieri "Cappellaio"</t>
  </si>
  <si>
    <t>Marianetti Matilde c.f. MRNMLD94P45H501J</t>
  </si>
  <si>
    <t>08/2023</t>
  </si>
  <si>
    <t>Percorso PCTO "Assicurazione"</t>
  </si>
  <si>
    <t>09/2023</t>
  </si>
  <si>
    <t>Percorso PCTO "Fisco e Scuola"</t>
  </si>
  <si>
    <t>ZEB3A4F4E5</t>
  </si>
  <si>
    <t>Scacchetti Rosella c.f. 13953211003</t>
  </si>
  <si>
    <t>10/2023</t>
  </si>
  <si>
    <t>Percorso PCTO "Maxxi Art work"</t>
  </si>
  <si>
    <t>Z5C39A5E93</t>
  </si>
  <si>
    <t>Fondazione Maxxi c.f. 10587971002</t>
  </si>
  <si>
    <t>11/2023</t>
  </si>
  <si>
    <t>Percorso PCTO "Immobiliari"</t>
  </si>
  <si>
    <t>12/2023</t>
  </si>
  <si>
    <t>Percorso PCTO "Guida turistica"</t>
  </si>
  <si>
    <t>13/2023</t>
  </si>
  <si>
    <t>14/2023</t>
  </si>
  <si>
    <t xml:space="preserve">Protocollo </t>
  </si>
  <si>
    <t>15/2023</t>
  </si>
  <si>
    <t>Percorso PCTO "Assicurazioni"</t>
  </si>
  <si>
    <t>16/2023</t>
  </si>
  <si>
    <t>Docenza corso AAM 01/2023 Nozioni di Diritto Civile e Nozioni diritto amm.vo"</t>
  </si>
  <si>
    <t>Z4039B1929</t>
  </si>
  <si>
    <t>Pizzullo Michele c.c. 06407131009</t>
  </si>
  <si>
    <t>17/2023</t>
  </si>
  <si>
    <t>Docenza corso AAM 01/2023 Nozioni di Diritto Tributario"</t>
  </si>
  <si>
    <t>Cusano Alessandro c.f. 14787671008</t>
  </si>
  <si>
    <t>18/2023</t>
  </si>
  <si>
    <t>Docenza corso AAM 01/2023 Nozioni di Diritto Commerciale</t>
  </si>
  <si>
    <t>Clemenzi Federico c.f. 08865531001</t>
  </si>
  <si>
    <t>19/2023</t>
  </si>
  <si>
    <t>Docenza corso AAM 01/2023 Nozioni di estimo</t>
  </si>
  <si>
    <t>20/2023</t>
  </si>
  <si>
    <t>Docenza corso AAM 01/2023 Nozioni di Diritto Finanziario</t>
  </si>
  <si>
    <t>Cataldo Salvatore c.f. 06502131003</t>
  </si>
  <si>
    <t>21/2023</t>
  </si>
  <si>
    <t>Percorso PCTO "information Technology"</t>
  </si>
  <si>
    <t>Coiante Giovanni Battista c.f. CNTGNN88T13H501K</t>
  </si>
  <si>
    <t>22/2023</t>
  </si>
  <si>
    <t>Percorso PCTO "Receptionist d'Albergo"</t>
  </si>
  <si>
    <t>Centineo Pietro c.f.CNTPTR58A03H501X</t>
  </si>
  <si>
    <t>23/2023</t>
  </si>
  <si>
    <t>Piscopo Angela c.f. 10516791000</t>
  </si>
  <si>
    <t>24/2023</t>
  </si>
  <si>
    <t>Progetto "Competenze per Orientare e formare al lavoro" Laboratorio mestieri "Un giorno in centro"</t>
  </si>
  <si>
    <t>25/2023</t>
  </si>
  <si>
    <t>26/2023</t>
  </si>
  <si>
    <t>27/2023</t>
  </si>
  <si>
    <t>Materiale informatico</t>
  </si>
  <si>
    <t>ZC8398E0DE</t>
  </si>
  <si>
    <t>Kora Sistemi Informatici c.f. 02048930206</t>
  </si>
  <si>
    <t>28/2023</t>
  </si>
  <si>
    <t>Rinnovo mail up Console</t>
  </si>
  <si>
    <t>ZE739A4259</t>
  </si>
  <si>
    <t>Growens spa c.f. 01279550196</t>
  </si>
  <si>
    <t>29/2023</t>
  </si>
  <si>
    <t>Progetto "Competenze per Orientare e formare al lavoro" Materiale di cancelleria</t>
  </si>
  <si>
    <t>Z99399E5C0</t>
  </si>
  <si>
    <t>Mondoffice srl c.f. 07491520156</t>
  </si>
  <si>
    <t>30/2023</t>
  </si>
  <si>
    <t>31/2023</t>
  </si>
  <si>
    <t>32/2023</t>
  </si>
  <si>
    <t>33/2023</t>
  </si>
  <si>
    <t>34/2023</t>
  </si>
  <si>
    <t>35/2023</t>
  </si>
  <si>
    <t>37/2023</t>
  </si>
  <si>
    <t>40/2023</t>
  </si>
  <si>
    <t>42/2023</t>
  </si>
  <si>
    <t>43/2023</t>
  </si>
  <si>
    <t>44/2023</t>
  </si>
  <si>
    <t>45/2023</t>
  </si>
  <si>
    <t>46/2023</t>
  </si>
  <si>
    <t>47/2023</t>
  </si>
  <si>
    <t>48/2023</t>
  </si>
  <si>
    <t>49/2023</t>
  </si>
  <si>
    <t>docenza corso ARC01/2023 - "Legislazione tributaria""</t>
  </si>
  <si>
    <t>50/2023</t>
  </si>
  <si>
    <t>51/2023</t>
  </si>
  <si>
    <t>52/2023</t>
  </si>
  <si>
    <t>53/2023</t>
  </si>
  <si>
    <t>54/2023</t>
  </si>
  <si>
    <t>55/2023</t>
  </si>
  <si>
    <t>56/2023</t>
  </si>
  <si>
    <t>docenza corso ex Rec 01/2023 - "Legislazione igienico sanitaria" e "HACCP""</t>
  </si>
  <si>
    <t>57/2023</t>
  </si>
  <si>
    <t>58/2023</t>
  </si>
  <si>
    <t>59/2023</t>
  </si>
  <si>
    <t>60/2023</t>
  </si>
  <si>
    <t>61/2023</t>
  </si>
  <si>
    <t>Fantozzi Massimiliano c.f. FNT MSM 65R13 H501C</t>
  </si>
  <si>
    <t>Pennisi Pasquale c.f. PNNPQL70M27C351G</t>
  </si>
  <si>
    <t>Fantozzi Massimiliano c.f. FNTMSM65R13H501C</t>
  </si>
  <si>
    <t>ZB93512396</t>
  </si>
  <si>
    <t>PA digitale spa c.f. 06628860964</t>
  </si>
  <si>
    <t>rinnovo dell’utilizzo della work station cloud dedicata (windows 10 Pro+ KD OILK) e del software software KD OIL per la Gestione dei servizi bancari</t>
  </si>
  <si>
    <t xml:space="preserve"> Z6A3A1453B</t>
  </si>
  <si>
    <t>KD Software Srls c.f. 01679660553</t>
  </si>
  <si>
    <t>Pizzullo Michele c.f. 06407131009</t>
  </si>
  <si>
    <t>ZE53A3342F</t>
  </si>
  <si>
    <t>Matomo Cloud 100000 hits/mese - 1 anno</t>
  </si>
  <si>
    <t>Microchips snc c.f. 03066850755</t>
  </si>
  <si>
    <t>Buoni pasto anno 2023-2024</t>
  </si>
  <si>
    <t>ZBD3A3286C</t>
  </si>
  <si>
    <t>Repas lunch coupon c.f. 01964741001</t>
  </si>
  <si>
    <t>Progetto “Transizione Green e sostenibilità” Percorso “Il ruolo delle PMI nella transizione energetica”;</t>
  </si>
  <si>
    <t>ZA03A38589</t>
  </si>
  <si>
    <t>36/2023</t>
  </si>
  <si>
    <t>38/2023</t>
  </si>
  <si>
    <t>39/2023</t>
  </si>
  <si>
    <t>41/2023</t>
  </si>
  <si>
    <t>231/2022</t>
  </si>
  <si>
    <t>Ferramondo Chiara c.f. FRRCHR95H42E783G</t>
  </si>
  <si>
    <t>De Laurentis Barbara c.f. DLRBBR84M49H501A</t>
  </si>
  <si>
    <t>Tosi Emanuela c.f. TSOMNL87B43H501N</t>
  </si>
  <si>
    <t>Cini Carlo, 16891631000</t>
  </si>
  <si>
    <t>Loiudice Nicoletta, 11734871004</t>
  </si>
  <si>
    <t>Fratini Fiamma, 16558361000</t>
  </si>
  <si>
    <t>Impresa Individuale Alexander Galiano, 08471251002</t>
  </si>
  <si>
    <t>Microcool Italia srl, 11353771006</t>
  </si>
  <si>
    <t>Associazione Teatro Verde, 03680650581</t>
  </si>
  <si>
    <t>200.00</t>
  </si>
  <si>
    <t>1600.00</t>
  </si>
  <si>
    <t>960.00</t>
  </si>
  <si>
    <t>549.00</t>
  </si>
  <si>
    <t>11560.00</t>
  </si>
  <si>
    <t>671.00</t>
  </si>
  <si>
    <t>611.42</t>
  </si>
  <si>
    <t>3429.36</t>
  </si>
  <si>
    <t>516.20</t>
  </si>
  <si>
    <t>2049.36</t>
  </si>
  <si>
    <t>1000.00</t>
  </si>
  <si>
    <t>800.80</t>
  </si>
  <si>
    <t>730.00</t>
  </si>
  <si>
    <t>571.20</t>
  </si>
  <si>
    <t>778.32</t>
  </si>
  <si>
    <t>202.00</t>
  </si>
  <si>
    <t>1150.00</t>
  </si>
  <si>
    <t>2402.00</t>
  </si>
  <si>
    <t>2718.20</t>
  </si>
  <si>
    <t>800.00</t>
  </si>
  <si>
    <t>1202.00</t>
  </si>
  <si>
    <t>1130.00</t>
  </si>
  <si>
    <t>655.20</t>
  </si>
  <si>
    <t>2271.20</t>
  </si>
  <si>
    <t>6080.00</t>
  </si>
  <si>
    <t>3054.32</t>
  </si>
  <si>
    <t>1760.00</t>
  </si>
  <si>
    <t>1024.00</t>
  </si>
  <si>
    <t>162.00</t>
  </si>
  <si>
    <t>640.00</t>
  </si>
  <si>
    <t>467.50</t>
  </si>
  <si>
    <t>8750.00</t>
  </si>
  <si>
    <t>1040.00</t>
  </si>
  <si>
    <t>1736.78</t>
  </si>
  <si>
    <t>1110.00</t>
  </si>
  <si>
    <t>1884.40</t>
  </si>
  <si>
    <t>584.40</t>
  </si>
  <si>
    <t>1310.40</t>
  </si>
  <si>
    <t>714.00</t>
  </si>
  <si>
    <t>24500.00</t>
  </si>
  <si>
    <t>1337.2</t>
  </si>
  <si>
    <t>678.71</t>
  </si>
  <si>
    <t>733.88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</si>
</sst>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164" fontId="18" fillId="0" borderId="0" xfId="0" applyNumberFormat="1" applyFont="1" applyAlignment="1">
      <alignment wrapText="1"/>
    </xf>
    <xf numFmtId="16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quotePrefix="1" applyBorder="1"/>
    <xf numFmtId="164" fontId="0" fillId="0" borderId="10" xfId="0" applyNumberFormat="1" applyBorder="1"/>
    <xf numFmtId="49" fontId="0" fillId="0" borderId="10" xfId="0" applyNumberFormat="1" applyBorder="1"/>
    <xf numFmtId="0" fontId="0" fillId="33" borderId="10" xfId="0" applyFill="1" applyBorder="1" applyAlignment="1">
      <alignment wrapText="1"/>
    </xf>
    <xf numFmtId="0" fontId="0" fillId="33" borderId="10" xfId="0" applyFill="1" applyBorder="1"/>
    <xf numFmtId="49" fontId="0" fillId="33" borderId="10" xfId="0" applyNumberFormat="1" applyFill="1" applyBorder="1"/>
    <xf numFmtId="0" fontId="0" fillId="33" borderId="10" xfId="0" quotePrefix="1" applyFill="1" applyBorder="1"/>
    <xf numFmtId="164" fontId="0" fillId="33" borderId="10" xfId="0" applyNumberForma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164" fontId="0" fillId="34" borderId="10" xfId="0" applyNumberFormat="1" applyFill="1" applyBorder="1"/>
    <xf numFmtId="49" fontId="0" fillId="34" borderId="10" xfId="0" applyNumberFormat="1" applyFill="1" applyBorder="1"/>
    <xf numFmtId="14" fontId="0" fillId="33" borderId="10" xfId="0" applyNumberFormat="1" applyFill="1" applyBorder="1"/>
    <xf numFmtId="14" fontId="0" fillId="0" borderId="10" xfId="0" applyNumberForma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6F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6" style="2" customWidth="1"/>
    <col min="2" max="3" width="26" customWidth="1"/>
    <col min="4" max="4" width="26" style="2" customWidth="1"/>
    <col min="5" max="5" width="26" customWidth="1"/>
    <col min="6" max="7" width="26" style="2" customWidth="1"/>
    <col min="8" max="8" width="9.85546875" customWidth="1"/>
    <col min="9" max="9" width="11" customWidth="1"/>
    <col min="10" max="11" width="12.7109375" style="4" customWidth="1"/>
    <col min="12" max="12" width="11.85546875" customWidth="1"/>
    <col min="13" max="13" width="10.7109375" bestFit="1" customWidth="1"/>
  </cols>
  <sheetData>
    <row r="1" spans="1:14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</row>
    <row r="3" spans="1:14" ht="45" x14ac:dyDescent="0.25">
      <c r="A3" s="7" t="s">
        <v>14</v>
      </c>
      <c r="B3" s="8" t="s">
        <v>15</v>
      </c>
      <c r="C3" s="9" t="s">
        <v>16</v>
      </c>
      <c r="D3" s="7" t="str">
        <f>"23-AFFIDAMENTO DIRETTO"</f>
        <v>23-AFFIDAMENTO DIRETTO</v>
      </c>
      <c r="E3" s="8" t="s">
        <v>17</v>
      </c>
      <c r="F3" s="7" t="s">
        <v>18</v>
      </c>
      <c r="G3" s="7" t="s">
        <v>18</v>
      </c>
      <c r="H3" s="8" t="str">
        <f>"4400,00"</f>
        <v>4400,00</v>
      </c>
      <c r="I3" s="8">
        <v>2023</v>
      </c>
      <c r="J3" s="10">
        <v>44927</v>
      </c>
      <c r="K3" s="10">
        <v>45291</v>
      </c>
      <c r="L3" s="8" t="s">
        <v>202</v>
      </c>
      <c r="M3" s="22">
        <v>45077</v>
      </c>
      <c r="N3" s="8" t="s">
        <v>19</v>
      </c>
    </row>
    <row r="4" spans="1:14" ht="45" x14ac:dyDescent="0.25">
      <c r="A4" s="7" t="s">
        <v>20</v>
      </c>
      <c r="B4" s="8" t="s">
        <v>15</v>
      </c>
      <c r="C4" s="9" t="s">
        <v>16</v>
      </c>
      <c r="D4" s="7" t="str">
        <f>"04-PROCEDURA NEGOZIATA SENZA PREVIA PUBBLICAZIONE"</f>
        <v>04-PROCEDURA NEGOZIATA SENZA PREVIA PUBBLICAZIONE</v>
      </c>
      <c r="E4" s="9" t="s">
        <v>21</v>
      </c>
      <c r="F4" s="7" t="s">
        <v>22</v>
      </c>
      <c r="G4" s="7" t="s">
        <v>22</v>
      </c>
      <c r="H4" s="8" t="str">
        <f>"5600,00"</f>
        <v>5600,00</v>
      </c>
      <c r="I4" s="8">
        <v>2023</v>
      </c>
      <c r="J4" s="10">
        <v>44927</v>
      </c>
      <c r="K4" s="10">
        <v>45291</v>
      </c>
      <c r="L4" s="8"/>
      <c r="M4" s="8"/>
      <c r="N4" s="8" t="s">
        <v>23</v>
      </c>
    </row>
    <row r="5" spans="1:14" ht="45" x14ac:dyDescent="0.25">
      <c r="A5" s="7" t="s">
        <v>24</v>
      </c>
      <c r="B5" s="8" t="s">
        <v>15</v>
      </c>
      <c r="C5" s="9" t="s">
        <v>16</v>
      </c>
      <c r="D5" s="7" t="str">
        <f>"04-PROCEDURA NEGOZIATA SENZA PREVIA PUBBLICAZIONE"</f>
        <v>04-PROCEDURA NEGOZIATA SENZA PREVIA PUBBLICAZIONE</v>
      </c>
      <c r="E5" s="9" t="s">
        <v>21</v>
      </c>
      <c r="F5" s="7" t="s">
        <v>25</v>
      </c>
      <c r="G5" s="7" t="s">
        <v>25</v>
      </c>
      <c r="H5" s="8" t="str">
        <f>"6500,00"</f>
        <v>6500,00</v>
      </c>
      <c r="I5" s="8">
        <v>2023</v>
      </c>
      <c r="J5" s="10">
        <v>44927</v>
      </c>
      <c r="K5" s="10">
        <v>45291</v>
      </c>
      <c r="L5" s="8" t="s">
        <v>199</v>
      </c>
      <c r="M5" s="22">
        <v>45068</v>
      </c>
      <c r="N5" s="8" t="s">
        <v>26</v>
      </c>
    </row>
    <row r="6" spans="1:14" ht="30" x14ac:dyDescent="0.25">
      <c r="A6" s="7" t="str">
        <f>"assistenza e manutenzione sito internet"</f>
        <v>assistenza e manutenzione sito internet</v>
      </c>
      <c r="B6" s="8" t="s">
        <v>15</v>
      </c>
      <c r="C6" s="9" t="s">
        <v>16</v>
      </c>
      <c r="D6" s="7" t="str">
        <f>"23-AFFIDAMENTO DIRETTO"</f>
        <v>23-AFFIDAMENTO DIRETTO</v>
      </c>
      <c r="E6" s="9" t="str">
        <f>"ZDC3AA1D77"</f>
        <v>ZDC3AA1D77</v>
      </c>
      <c r="F6" s="7" t="str">
        <f>"MENEXA SRL, 14994471002"</f>
        <v>MENEXA SRL, 14994471002</v>
      </c>
      <c r="G6" s="7" t="str">
        <f>"MENEXA SRL, 14994471002"</f>
        <v>MENEXA SRL, 14994471002</v>
      </c>
      <c r="H6" s="8" t="str">
        <f>"1900,00"</f>
        <v>1900,00</v>
      </c>
      <c r="I6" s="8">
        <v>2023</v>
      </c>
      <c r="J6" s="10">
        <v>45057</v>
      </c>
      <c r="K6" s="10">
        <v>45291</v>
      </c>
      <c r="L6" s="8" t="str">
        <f>""</f>
        <v/>
      </c>
      <c r="M6" s="8"/>
      <c r="N6" s="8" t="s">
        <v>166</v>
      </c>
    </row>
    <row r="7" spans="1:14" ht="75" x14ac:dyDescent="0.25">
      <c r="A7" s="7" t="s">
        <v>27</v>
      </c>
      <c r="B7" s="8" t="s">
        <v>15</v>
      </c>
      <c r="C7" s="9" t="s">
        <v>16</v>
      </c>
      <c r="D7" s="7" t="str">
        <f>"04-PROCEDURA NEGOZIATA SENZA PREVIA PUBBLICAZIONE"</f>
        <v>04-PROCEDURA NEGOZIATA SENZA PREVIA PUBBLICAZIONE</v>
      </c>
      <c r="E7" s="9" t="s">
        <v>28</v>
      </c>
      <c r="F7" s="7" t="s">
        <v>29</v>
      </c>
      <c r="G7" s="7" t="s">
        <v>29</v>
      </c>
      <c r="H7" s="8" t="str">
        <f>"5000,00"</f>
        <v>5000,00</v>
      </c>
      <c r="I7" s="8">
        <v>2023</v>
      </c>
      <c r="J7" s="10">
        <v>44927</v>
      </c>
      <c r="K7" s="10">
        <v>45291</v>
      </c>
      <c r="L7" s="8"/>
      <c r="M7" s="8"/>
      <c r="N7" s="8" t="s">
        <v>30</v>
      </c>
    </row>
    <row r="8" spans="1:14" ht="45" x14ac:dyDescent="0.25">
      <c r="A8" s="7" t="s">
        <v>31</v>
      </c>
      <c r="B8" s="8" t="s">
        <v>15</v>
      </c>
      <c r="C8" s="9" t="s">
        <v>16</v>
      </c>
      <c r="D8" s="7" t="str">
        <f>"04-PROCEDURA NEGOZIATA SENZA PREVIA PUBBLICAZIONE"</f>
        <v>04-PROCEDURA NEGOZIATA SENZA PREVIA PUBBLICAZIONE</v>
      </c>
      <c r="E8" s="9" t="s">
        <v>32</v>
      </c>
      <c r="F8" s="7" t="s">
        <v>33</v>
      </c>
      <c r="G8" s="7" t="s">
        <v>33</v>
      </c>
      <c r="H8" s="8" t="str">
        <f>"1130,00"</f>
        <v>1130,00</v>
      </c>
      <c r="I8" s="8">
        <v>2023</v>
      </c>
      <c r="J8" s="10">
        <v>44927</v>
      </c>
      <c r="K8" s="10">
        <v>45291</v>
      </c>
      <c r="L8" s="8" t="s">
        <v>197</v>
      </c>
      <c r="M8" s="22">
        <v>45056</v>
      </c>
      <c r="N8" s="8" t="s">
        <v>34</v>
      </c>
    </row>
    <row r="9" spans="1:14" ht="30" x14ac:dyDescent="0.25">
      <c r="A9" s="7" t="s">
        <v>35</v>
      </c>
      <c r="B9" s="8" t="s">
        <v>15</v>
      </c>
      <c r="C9" s="9" t="s">
        <v>16</v>
      </c>
      <c r="D9" s="7" t="str">
        <f>"23-AFFIDAMENTO DIRETTO"</f>
        <v>23-AFFIDAMENTO DIRETTO</v>
      </c>
      <c r="E9" s="9" t="s">
        <v>36</v>
      </c>
      <c r="F9" s="7" t="s">
        <v>37</v>
      </c>
      <c r="G9" s="7" t="s">
        <v>37</v>
      </c>
      <c r="H9" s="8" t="str">
        <f>"3429,36"</f>
        <v>3429,36</v>
      </c>
      <c r="I9" s="8">
        <v>2023</v>
      </c>
      <c r="J9" s="10">
        <v>44927</v>
      </c>
      <c r="K9" s="10">
        <v>45291</v>
      </c>
      <c r="L9" s="8" t="s">
        <v>183</v>
      </c>
      <c r="M9" s="22">
        <v>45014</v>
      </c>
      <c r="N9" s="8" t="s">
        <v>38</v>
      </c>
    </row>
    <row r="10" spans="1:14" ht="45" x14ac:dyDescent="0.25">
      <c r="A10" s="7" t="s">
        <v>39</v>
      </c>
      <c r="B10" s="8" t="s">
        <v>15</v>
      </c>
      <c r="C10" s="9" t="s">
        <v>16</v>
      </c>
      <c r="D10" s="7" t="str">
        <f>"04-PROCEDURA NEGOZIATA SENZA PREVIA PUBBLICAZIONE"</f>
        <v>04-PROCEDURA NEGOZIATA SENZA PREVIA PUBBLICAZIONE</v>
      </c>
      <c r="E10" s="9" t="s">
        <v>21</v>
      </c>
      <c r="F10" s="7" t="s">
        <v>175</v>
      </c>
      <c r="G10" s="7" t="s">
        <v>175</v>
      </c>
      <c r="H10" s="8" t="str">
        <f>"8750,00"</f>
        <v>8750,00</v>
      </c>
      <c r="I10" s="8">
        <v>2023</v>
      </c>
      <c r="J10" s="10">
        <v>44956</v>
      </c>
      <c r="K10" s="10">
        <v>45002</v>
      </c>
      <c r="L10" s="8" t="s">
        <v>207</v>
      </c>
      <c r="M10" s="22">
        <v>45077</v>
      </c>
      <c r="N10" s="11" t="s">
        <v>40</v>
      </c>
    </row>
    <row r="11" spans="1:14" ht="75" x14ac:dyDescent="0.25">
      <c r="A11" s="7" t="s">
        <v>41</v>
      </c>
      <c r="B11" s="8" t="s">
        <v>15</v>
      </c>
      <c r="C11" s="9" t="s">
        <v>16</v>
      </c>
      <c r="D11" s="7" t="str">
        <f t="shared" ref="D11:D19" si="0">"23-AFFIDAMENTO DIRETTO"</f>
        <v>23-AFFIDAMENTO DIRETTO</v>
      </c>
      <c r="E11" s="9" t="s">
        <v>21</v>
      </c>
      <c r="F11" s="7" t="s">
        <v>42</v>
      </c>
      <c r="G11" s="7" t="s">
        <v>42</v>
      </c>
      <c r="H11" s="8" t="str">
        <f>"6800,00"</f>
        <v>6800,00</v>
      </c>
      <c r="I11" s="8">
        <v>2023</v>
      </c>
      <c r="J11" s="10">
        <v>44944</v>
      </c>
      <c r="K11" s="10">
        <v>45107</v>
      </c>
      <c r="L11" s="8" t="s">
        <v>196</v>
      </c>
      <c r="M11" s="22">
        <v>45056</v>
      </c>
      <c r="N11" s="11" t="s">
        <v>43</v>
      </c>
    </row>
    <row r="12" spans="1:14" ht="75" x14ac:dyDescent="0.25">
      <c r="A12" s="7" t="s">
        <v>41</v>
      </c>
      <c r="B12" s="8" t="s">
        <v>15</v>
      </c>
      <c r="C12" s="9" t="s">
        <v>16</v>
      </c>
      <c r="D12" s="7" t="str">
        <f t="shared" si="0"/>
        <v>23-AFFIDAMENTO DIRETTO</v>
      </c>
      <c r="E12" s="9" t="s">
        <v>21</v>
      </c>
      <c r="F12" s="7" t="s">
        <v>44</v>
      </c>
      <c r="G12" s="7" t="s">
        <v>44</v>
      </c>
      <c r="H12" s="8" t="str">
        <f>"6800,00"</f>
        <v>6800,00</v>
      </c>
      <c r="I12" s="8">
        <v>2023</v>
      </c>
      <c r="J12" s="10">
        <v>44944</v>
      </c>
      <c r="K12" s="10">
        <v>45107</v>
      </c>
      <c r="L12" s="8" t="s">
        <v>194</v>
      </c>
      <c r="M12" s="22">
        <v>45020</v>
      </c>
      <c r="N12" s="11" t="s">
        <v>45</v>
      </c>
    </row>
    <row r="13" spans="1:14" ht="75" x14ac:dyDescent="0.25">
      <c r="A13" s="7" t="s">
        <v>41</v>
      </c>
      <c r="B13" s="8" t="s">
        <v>15</v>
      </c>
      <c r="C13" s="9" t="s">
        <v>16</v>
      </c>
      <c r="D13" s="7" t="str">
        <f t="shared" si="0"/>
        <v>23-AFFIDAMENTO DIRETTO</v>
      </c>
      <c r="E13" s="9" t="s">
        <v>21</v>
      </c>
      <c r="F13" s="7" t="s">
        <v>46</v>
      </c>
      <c r="G13" s="7" t="s">
        <v>46</v>
      </c>
      <c r="H13" s="8" t="str">
        <f>"6800,00"</f>
        <v>6800,00</v>
      </c>
      <c r="I13" s="8">
        <v>2023</v>
      </c>
      <c r="J13" s="10">
        <v>44944</v>
      </c>
      <c r="K13" s="10">
        <v>45107</v>
      </c>
      <c r="L13" s="8" t="s">
        <v>193</v>
      </c>
      <c r="M13" s="22">
        <v>45020</v>
      </c>
      <c r="N13" s="11" t="s">
        <v>47</v>
      </c>
    </row>
    <row r="14" spans="1:14" ht="75" x14ac:dyDescent="0.25">
      <c r="A14" s="7" t="s">
        <v>48</v>
      </c>
      <c r="B14" s="8" t="s">
        <v>15</v>
      </c>
      <c r="C14" s="9" t="s">
        <v>16</v>
      </c>
      <c r="D14" s="7" t="str">
        <f t="shared" si="0"/>
        <v>23-AFFIDAMENTO DIRETTO</v>
      </c>
      <c r="E14" s="9" t="s">
        <v>21</v>
      </c>
      <c r="F14" s="7" t="s">
        <v>173</v>
      </c>
      <c r="G14" s="7" t="s">
        <v>173</v>
      </c>
      <c r="H14" s="8" t="str">
        <f>"2560,00"</f>
        <v>2560,00</v>
      </c>
      <c r="I14" s="8">
        <v>2023</v>
      </c>
      <c r="J14" s="10">
        <v>44937</v>
      </c>
      <c r="K14" s="10">
        <v>45107</v>
      </c>
      <c r="L14" s="8" t="s">
        <v>209</v>
      </c>
      <c r="M14" s="22">
        <v>45090</v>
      </c>
      <c r="N14" s="11" t="s">
        <v>49</v>
      </c>
    </row>
    <row r="15" spans="1:14" ht="75" x14ac:dyDescent="0.25">
      <c r="A15" s="7" t="s">
        <v>50</v>
      </c>
      <c r="B15" s="8" t="s">
        <v>15</v>
      </c>
      <c r="C15" s="9" t="s">
        <v>16</v>
      </c>
      <c r="D15" s="7" t="str">
        <f t="shared" si="0"/>
        <v>23-AFFIDAMENTO DIRETTO</v>
      </c>
      <c r="E15" s="9" t="s">
        <v>21</v>
      </c>
      <c r="F15" s="7" t="s">
        <v>51</v>
      </c>
      <c r="G15" s="7" t="s">
        <v>51</v>
      </c>
      <c r="H15" s="8" t="str">
        <f>"2560,00"</f>
        <v>2560,00</v>
      </c>
      <c r="I15" s="8">
        <v>2023</v>
      </c>
      <c r="J15" s="10">
        <v>44945</v>
      </c>
      <c r="K15" s="10">
        <v>45107</v>
      </c>
      <c r="L15" s="8" t="s">
        <v>216</v>
      </c>
      <c r="M15" s="22">
        <v>45090</v>
      </c>
      <c r="N15" s="11" t="s">
        <v>52</v>
      </c>
    </row>
    <row r="16" spans="1:14" ht="60" x14ac:dyDescent="0.25">
      <c r="A16" s="7" t="s">
        <v>53</v>
      </c>
      <c r="B16" s="8" t="s">
        <v>15</v>
      </c>
      <c r="C16" s="9" t="s">
        <v>16</v>
      </c>
      <c r="D16" s="7" t="str">
        <f t="shared" si="0"/>
        <v>23-AFFIDAMENTO DIRETTO</v>
      </c>
      <c r="E16" s="9" t="s">
        <v>21</v>
      </c>
      <c r="F16" s="7" t="s">
        <v>172</v>
      </c>
      <c r="G16" s="7" t="s">
        <v>172</v>
      </c>
      <c r="H16" s="8" t="str">
        <f>"2560,00"</f>
        <v>2560,00</v>
      </c>
      <c r="I16" s="8">
        <v>2023</v>
      </c>
      <c r="J16" s="10">
        <v>44937</v>
      </c>
      <c r="K16" s="10">
        <v>45107</v>
      </c>
      <c r="L16" s="8" t="s">
        <v>177</v>
      </c>
      <c r="M16" s="22">
        <v>45056</v>
      </c>
      <c r="N16" s="11" t="s">
        <v>54</v>
      </c>
    </row>
    <row r="17" spans="1:14" ht="60" x14ac:dyDescent="0.25">
      <c r="A17" s="7" t="s">
        <v>55</v>
      </c>
      <c r="B17" s="8" t="s">
        <v>15</v>
      </c>
      <c r="C17" s="9" t="s">
        <v>16</v>
      </c>
      <c r="D17" s="7" t="str">
        <f t="shared" si="0"/>
        <v>23-AFFIDAMENTO DIRETTO</v>
      </c>
      <c r="E17" s="9" t="s">
        <v>21</v>
      </c>
      <c r="F17" s="7" t="s">
        <v>56</v>
      </c>
      <c r="G17" s="7" t="s">
        <v>56</v>
      </c>
      <c r="H17" s="8" t="str">
        <f>"2560,00"</f>
        <v>2560,00</v>
      </c>
      <c r="I17" s="8">
        <v>2023</v>
      </c>
      <c r="J17" s="10">
        <v>44944</v>
      </c>
      <c r="K17" s="10">
        <v>45107</v>
      </c>
      <c r="L17" s="8" t="s">
        <v>203</v>
      </c>
      <c r="M17" s="22">
        <v>45077</v>
      </c>
      <c r="N17" s="11" t="s">
        <v>57</v>
      </c>
    </row>
    <row r="18" spans="1:14" ht="30" x14ac:dyDescent="0.25">
      <c r="A18" s="7" t="s">
        <v>58</v>
      </c>
      <c r="B18" s="8" t="s">
        <v>15</v>
      </c>
      <c r="C18" s="9" t="s">
        <v>16</v>
      </c>
      <c r="D18" s="7" t="str">
        <f t="shared" si="0"/>
        <v>23-AFFIDAMENTO DIRETTO</v>
      </c>
      <c r="E18" s="9" t="s">
        <v>21</v>
      </c>
      <c r="F18" s="7" t="s">
        <v>147</v>
      </c>
      <c r="G18" s="7" t="s">
        <v>145</v>
      </c>
      <c r="H18" s="8" t="str">
        <f>"2400,00"</f>
        <v>2400,00</v>
      </c>
      <c r="I18" s="8">
        <v>2023</v>
      </c>
      <c r="J18" s="10">
        <v>44939</v>
      </c>
      <c r="K18" s="10">
        <v>45107</v>
      </c>
      <c r="L18" s="8" t="s">
        <v>208</v>
      </c>
      <c r="M18" s="22">
        <v>45085</v>
      </c>
      <c r="N18" s="11" t="s">
        <v>59</v>
      </c>
    </row>
    <row r="19" spans="1:14" ht="30" x14ac:dyDescent="0.25">
      <c r="A19" s="7" t="s">
        <v>60</v>
      </c>
      <c r="B19" s="8" t="s">
        <v>15</v>
      </c>
      <c r="C19" s="9" t="s">
        <v>16</v>
      </c>
      <c r="D19" s="7" t="str">
        <f t="shared" si="0"/>
        <v>23-AFFIDAMENTO DIRETTO</v>
      </c>
      <c r="E19" s="9" t="s">
        <v>61</v>
      </c>
      <c r="F19" s="7" t="s">
        <v>62</v>
      </c>
      <c r="G19" s="7" t="s">
        <v>62</v>
      </c>
      <c r="H19" s="8" t="str">
        <f>"600,00"</f>
        <v>600,00</v>
      </c>
      <c r="I19" s="8">
        <v>2023</v>
      </c>
      <c r="J19" s="10">
        <v>44978</v>
      </c>
      <c r="K19" s="10">
        <v>44986</v>
      </c>
      <c r="L19" s="8" t="s">
        <v>191</v>
      </c>
      <c r="M19" s="22">
        <v>45042</v>
      </c>
      <c r="N19" s="11" t="s">
        <v>63</v>
      </c>
    </row>
    <row r="20" spans="1:14" s="5" customFormat="1" ht="45" x14ac:dyDescent="0.25">
      <c r="A20" s="12" t="s">
        <v>64</v>
      </c>
      <c r="B20" s="8" t="s">
        <v>15</v>
      </c>
      <c r="C20" s="9" t="s">
        <v>16</v>
      </c>
      <c r="D20" s="7" t="str">
        <f>"04-PROCEDURA NEGOZIATA SENZA PREVIA PUBBLICAZIONE"</f>
        <v>04-PROCEDURA NEGOZIATA SENZA PREVIA PUBBLICAZIONE</v>
      </c>
      <c r="E20" s="9" t="s">
        <v>65</v>
      </c>
      <c r="F20" s="12" t="s">
        <v>66</v>
      </c>
      <c r="G20" s="12" t="s">
        <v>66</v>
      </c>
      <c r="H20" s="8" t="str">
        <f>"6080,00"</f>
        <v>6080,00</v>
      </c>
      <c r="I20" s="8">
        <v>2023</v>
      </c>
      <c r="J20" s="10">
        <v>44959</v>
      </c>
      <c r="K20" s="10">
        <v>45046</v>
      </c>
      <c r="L20" s="13" t="s">
        <v>200</v>
      </c>
      <c r="M20" s="21">
        <v>45068</v>
      </c>
      <c r="N20" s="14" t="s">
        <v>67</v>
      </c>
    </row>
    <row r="21" spans="1:14" ht="30" x14ac:dyDescent="0.25">
      <c r="A21" s="7" t="s">
        <v>68</v>
      </c>
      <c r="B21" s="8" t="s">
        <v>15</v>
      </c>
      <c r="C21" s="9" t="s">
        <v>16</v>
      </c>
      <c r="D21" s="7" t="str">
        <f t="shared" ref="D21:D39" si="1">"23-AFFIDAMENTO DIRETTO"</f>
        <v>23-AFFIDAMENTO DIRETTO</v>
      </c>
      <c r="E21" s="9" t="s">
        <v>21</v>
      </c>
      <c r="F21" s="7" t="s">
        <v>146</v>
      </c>
      <c r="G21" s="7" t="s">
        <v>146</v>
      </c>
      <c r="H21" s="8" t="str">
        <f>"1750,00"</f>
        <v>1750,00</v>
      </c>
      <c r="I21" s="8">
        <v>2023</v>
      </c>
      <c r="J21" s="10">
        <v>44944</v>
      </c>
      <c r="K21" s="10">
        <v>45107</v>
      </c>
      <c r="L21" s="8" t="s">
        <v>186</v>
      </c>
      <c r="M21" s="22">
        <v>45085</v>
      </c>
      <c r="N21" s="11" t="s">
        <v>69</v>
      </c>
    </row>
    <row r="22" spans="1:14" ht="30" x14ac:dyDescent="0.25">
      <c r="A22" s="7" t="s">
        <v>70</v>
      </c>
      <c r="B22" s="8" t="s">
        <v>15</v>
      </c>
      <c r="C22" s="9" t="s">
        <v>16</v>
      </c>
      <c r="D22" s="7" t="str">
        <f t="shared" si="1"/>
        <v>23-AFFIDAMENTO DIRETTO</v>
      </c>
      <c r="E22" s="9" t="s">
        <v>21</v>
      </c>
      <c r="F22" s="7" t="s">
        <v>44</v>
      </c>
      <c r="G22" s="7" t="s">
        <v>44</v>
      </c>
      <c r="H22" s="8" t="str">
        <f>"944,00"</f>
        <v>944,00</v>
      </c>
      <c r="I22" s="8">
        <v>2023</v>
      </c>
      <c r="J22" s="10">
        <v>44953</v>
      </c>
      <c r="K22" s="10">
        <v>44971</v>
      </c>
      <c r="L22" s="8"/>
      <c r="M22" s="8"/>
      <c r="N22" s="11" t="s">
        <v>71</v>
      </c>
    </row>
    <row r="23" spans="1:14" ht="30" x14ac:dyDescent="0.25">
      <c r="A23" s="7" t="s">
        <v>70</v>
      </c>
      <c r="B23" s="8" t="s">
        <v>15</v>
      </c>
      <c r="C23" s="9" t="s">
        <v>16</v>
      </c>
      <c r="D23" s="7" t="str">
        <f t="shared" si="1"/>
        <v>23-AFFIDAMENTO DIRETTO</v>
      </c>
      <c r="E23" s="9" t="s">
        <v>21</v>
      </c>
      <c r="F23" s="7" t="s">
        <v>46</v>
      </c>
      <c r="G23" s="7" t="s">
        <v>46</v>
      </c>
      <c r="H23" s="8" t="str">
        <f>"944,00"</f>
        <v>944,00</v>
      </c>
      <c r="I23" s="8">
        <v>2023</v>
      </c>
      <c r="J23" s="10">
        <v>44953</v>
      </c>
      <c r="K23" s="10">
        <v>44971</v>
      </c>
      <c r="L23" s="8" t="s">
        <v>184</v>
      </c>
      <c r="M23" s="22">
        <v>45020</v>
      </c>
      <c r="N23" s="11" t="s">
        <v>72</v>
      </c>
    </row>
    <row r="24" spans="1:14" s="5" customFormat="1" ht="30" x14ac:dyDescent="0.25">
      <c r="A24" s="7" t="s">
        <v>73</v>
      </c>
      <c r="B24" s="8" t="s">
        <v>15</v>
      </c>
      <c r="C24" s="9" t="s">
        <v>16</v>
      </c>
      <c r="D24" s="7" t="str">
        <f t="shared" si="1"/>
        <v>23-AFFIDAMENTO DIRETTO</v>
      </c>
      <c r="E24" s="9" t="s">
        <v>148</v>
      </c>
      <c r="F24" s="7" t="s">
        <v>149</v>
      </c>
      <c r="G24" s="7" t="s">
        <v>149</v>
      </c>
      <c r="H24" s="8" t="str">
        <f>"2175,00"</f>
        <v>2175,00</v>
      </c>
      <c r="I24" s="8">
        <v>2023</v>
      </c>
      <c r="J24" s="10">
        <v>44927</v>
      </c>
      <c r="K24" s="10">
        <v>45291</v>
      </c>
      <c r="L24" s="8" t="s">
        <v>190</v>
      </c>
      <c r="M24" s="22">
        <v>45042</v>
      </c>
      <c r="N24" s="11" t="s">
        <v>74</v>
      </c>
    </row>
    <row r="25" spans="1:14" ht="30" x14ac:dyDescent="0.25">
      <c r="A25" s="7" t="s">
        <v>75</v>
      </c>
      <c r="B25" s="8" t="s">
        <v>15</v>
      </c>
      <c r="C25" s="9" t="s">
        <v>16</v>
      </c>
      <c r="D25" s="7" t="str">
        <f t="shared" si="1"/>
        <v>23-AFFIDAMENTO DIRETTO</v>
      </c>
      <c r="E25" s="9" t="s">
        <v>21</v>
      </c>
      <c r="F25" s="7" t="str">
        <f>"POETA ANTONELLO, PTONNL63P01F446B"</f>
        <v>POETA ANTONELLO, PTONNL63P01F446B</v>
      </c>
      <c r="G25" s="7" t="str">
        <f>"POETA ANTONELLO, PTONNL63P01F446B"</f>
        <v>POETA ANTONELLO, PTONNL63P01F446B</v>
      </c>
      <c r="H25" s="8" t="str">
        <f>"1200,00"</f>
        <v>1200,00</v>
      </c>
      <c r="I25" s="8">
        <v>2023</v>
      </c>
      <c r="J25" s="10">
        <v>44949</v>
      </c>
      <c r="K25" s="10">
        <v>45107</v>
      </c>
      <c r="L25" s="8" t="str">
        <f>""</f>
        <v/>
      </c>
      <c r="M25" s="8"/>
      <c r="N25" s="8" t="s">
        <v>76</v>
      </c>
    </row>
    <row r="26" spans="1:14" s="5" customFormat="1" ht="60" x14ac:dyDescent="0.25">
      <c r="A26" s="12" t="s">
        <v>77</v>
      </c>
      <c r="B26" s="13" t="s">
        <v>15</v>
      </c>
      <c r="C26" s="15" t="s">
        <v>16</v>
      </c>
      <c r="D26" s="12" t="str">
        <f t="shared" si="1"/>
        <v>23-AFFIDAMENTO DIRETTO</v>
      </c>
      <c r="E26" s="13" t="s">
        <v>78</v>
      </c>
      <c r="F26" s="12" t="s">
        <v>153</v>
      </c>
      <c r="G26" s="12" t="s">
        <v>79</v>
      </c>
      <c r="H26" s="8" t="str">
        <f>"2049,36"</f>
        <v>2049,36</v>
      </c>
      <c r="I26" s="13">
        <v>2023</v>
      </c>
      <c r="J26" s="10">
        <v>44956</v>
      </c>
      <c r="K26" s="10">
        <v>45007</v>
      </c>
      <c r="L26" s="13" t="s">
        <v>185</v>
      </c>
      <c r="M26" s="21">
        <v>45042</v>
      </c>
      <c r="N26" s="14" t="s">
        <v>80</v>
      </c>
    </row>
    <row r="27" spans="1:14" s="5" customFormat="1" ht="45" x14ac:dyDescent="0.25">
      <c r="A27" s="12" t="s">
        <v>81</v>
      </c>
      <c r="B27" s="13" t="s">
        <v>15</v>
      </c>
      <c r="C27" s="15" t="s">
        <v>16</v>
      </c>
      <c r="D27" s="12" t="str">
        <f t="shared" si="1"/>
        <v>23-AFFIDAMENTO DIRETTO</v>
      </c>
      <c r="E27" s="13" t="s">
        <v>21</v>
      </c>
      <c r="F27" s="12" t="s">
        <v>82</v>
      </c>
      <c r="G27" s="12" t="s">
        <v>82</v>
      </c>
      <c r="H27" s="8" t="str">
        <f>"800,80"</f>
        <v>800,80</v>
      </c>
      <c r="I27" s="13">
        <v>2023</v>
      </c>
      <c r="J27" s="10">
        <v>44956</v>
      </c>
      <c r="K27" s="10">
        <v>45007</v>
      </c>
      <c r="L27" s="13" t="s">
        <v>187</v>
      </c>
      <c r="M27" s="21">
        <v>45042</v>
      </c>
      <c r="N27" s="14" t="s">
        <v>83</v>
      </c>
    </row>
    <row r="28" spans="1:14" s="5" customFormat="1" ht="45" x14ac:dyDescent="0.25">
      <c r="A28" s="12" t="s">
        <v>84</v>
      </c>
      <c r="B28" s="13" t="s">
        <v>15</v>
      </c>
      <c r="C28" s="15" t="s">
        <v>16</v>
      </c>
      <c r="D28" s="12" t="str">
        <f t="shared" si="1"/>
        <v>23-AFFIDAMENTO DIRETTO</v>
      </c>
      <c r="E28" s="13" t="s">
        <v>21</v>
      </c>
      <c r="F28" s="12" t="s">
        <v>85</v>
      </c>
      <c r="G28" s="12" t="s">
        <v>85</v>
      </c>
      <c r="H28" s="8" t="str">
        <f>"730,00"</f>
        <v>730,00</v>
      </c>
      <c r="I28" s="13">
        <v>2023</v>
      </c>
      <c r="J28" s="10">
        <v>44956</v>
      </c>
      <c r="K28" s="10">
        <v>45007</v>
      </c>
      <c r="L28" s="13" t="s">
        <v>188</v>
      </c>
      <c r="M28" s="21">
        <v>45042</v>
      </c>
      <c r="N28" s="14" t="s">
        <v>86</v>
      </c>
    </row>
    <row r="29" spans="1:14" s="5" customFormat="1" ht="30" x14ac:dyDescent="0.25">
      <c r="A29" s="12" t="s">
        <v>87</v>
      </c>
      <c r="B29" s="13" t="s">
        <v>15</v>
      </c>
      <c r="C29" s="15" t="s">
        <v>16</v>
      </c>
      <c r="D29" s="12" t="str">
        <f t="shared" si="1"/>
        <v>23-AFFIDAMENTO DIRETTO</v>
      </c>
      <c r="E29" s="13" t="s">
        <v>21</v>
      </c>
      <c r="F29" s="12" t="s">
        <v>171</v>
      </c>
      <c r="G29" s="12" t="s">
        <v>171</v>
      </c>
      <c r="H29" s="8" t="str">
        <f>"1260,00"</f>
        <v>1260,00</v>
      </c>
      <c r="I29" s="13">
        <v>2023</v>
      </c>
      <c r="J29" s="10">
        <v>44956</v>
      </c>
      <c r="K29" s="10">
        <v>45007</v>
      </c>
      <c r="L29" s="13"/>
      <c r="M29" s="13"/>
      <c r="N29" s="14" t="s">
        <v>88</v>
      </c>
    </row>
    <row r="30" spans="1:14" s="5" customFormat="1" ht="45" x14ac:dyDescent="0.25">
      <c r="A30" s="12" t="s">
        <v>89</v>
      </c>
      <c r="B30" s="13" t="s">
        <v>15</v>
      </c>
      <c r="C30" s="15" t="s">
        <v>16</v>
      </c>
      <c r="D30" s="12" t="str">
        <f t="shared" si="1"/>
        <v>23-AFFIDAMENTO DIRETTO</v>
      </c>
      <c r="E30" s="13" t="s">
        <v>21</v>
      </c>
      <c r="F30" s="12" t="s">
        <v>90</v>
      </c>
      <c r="G30" s="12" t="s">
        <v>90</v>
      </c>
      <c r="H30" s="8" t="str">
        <f>"571,20"</f>
        <v>571,20</v>
      </c>
      <c r="I30" s="13">
        <v>2023</v>
      </c>
      <c r="J30" s="10">
        <v>44956</v>
      </c>
      <c r="K30" s="10">
        <v>45007</v>
      </c>
      <c r="L30" s="13" t="s">
        <v>189</v>
      </c>
      <c r="M30" s="21">
        <v>45042</v>
      </c>
      <c r="N30" s="14" t="s">
        <v>91</v>
      </c>
    </row>
    <row r="31" spans="1:14" s="5" customFormat="1" ht="30" x14ac:dyDescent="0.25">
      <c r="A31" s="12" t="s">
        <v>92</v>
      </c>
      <c r="B31" s="13" t="s">
        <v>15</v>
      </c>
      <c r="C31" s="9" t="s">
        <v>16</v>
      </c>
      <c r="D31" s="7" t="str">
        <f t="shared" si="1"/>
        <v>23-AFFIDAMENTO DIRETTO</v>
      </c>
      <c r="E31" s="8" t="str">
        <f t="shared" ref="E31:E36" si="2">"0000000000"</f>
        <v>0000000000</v>
      </c>
      <c r="F31" s="12" t="s">
        <v>93</v>
      </c>
      <c r="G31" s="12" t="s">
        <v>93</v>
      </c>
      <c r="H31" s="8" t="str">
        <f>"1000,00"</f>
        <v>1000,00</v>
      </c>
      <c r="I31" s="13">
        <v>2023</v>
      </c>
      <c r="J31" s="10">
        <v>44967</v>
      </c>
      <c r="K31" s="10">
        <v>45016</v>
      </c>
      <c r="L31" s="13" t="s">
        <v>195</v>
      </c>
      <c r="M31" s="21">
        <v>45020</v>
      </c>
      <c r="N31" s="14" t="s">
        <v>94</v>
      </c>
    </row>
    <row r="32" spans="1:14" s="5" customFormat="1" ht="30" x14ac:dyDescent="0.25">
      <c r="A32" s="12" t="s">
        <v>95</v>
      </c>
      <c r="B32" s="13" t="s">
        <v>15</v>
      </c>
      <c r="C32" s="15" t="s">
        <v>16</v>
      </c>
      <c r="D32" s="12" t="str">
        <f t="shared" si="1"/>
        <v>23-AFFIDAMENTO DIRETTO</v>
      </c>
      <c r="E32" s="13" t="str">
        <f t="shared" si="2"/>
        <v>0000000000</v>
      </c>
      <c r="F32" s="12" t="s">
        <v>96</v>
      </c>
      <c r="G32" s="12" t="s">
        <v>96</v>
      </c>
      <c r="H32" s="8" t="str">
        <f>"200,00"</f>
        <v>200,00</v>
      </c>
      <c r="I32" s="13">
        <v>2023</v>
      </c>
      <c r="J32" s="10">
        <v>44978</v>
      </c>
      <c r="K32" s="10">
        <v>44995</v>
      </c>
      <c r="L32" s="13" t="s">
        <v>176</v>
      </c>
      <c r="M32" s="21">
        <v>45014</v>
      </c>
      <c r="N32" s="14" t="s">
        <v>97</v>
      </c>
    </row>
    <row r="33" spans="1:14" s="5" customFormat="1" ht="30" x14ac:dyDescent="0.25">
      <c r="A33" s="12" t="s">
        <v>95</v>
      </c>
      <c r="B33" s="13" t="s">
        <v>15</v>
      </c>
      <c r="C33" s="15" t="s">
        <v>16</v>
      </c>
      <c r="D33" s="12" t="str">
        <f t="shared" si="1"/>
        <v>23-AFFIDAMENTO DIRETTO</v>
      </c>
      <c r="E33" s="13" t="str">
        <f t="shared" si="2"/>
        <v>0000000000</v>
      </c>
      <c r="F33" s="12" t="s">
        <v>98</v>
      </c>
      <c r="G33" s="12" t="s">
        <v>98</v>
      </c>
      <c r="H33" s="13" t="str">
        <f>"200,00"</f>
        <v>200,00</v>
      </c>
      <c r="I33" s="13">
        <v>2023</v>
      </c>
      <c r="J33" s="16">
        <v>44992</v>
      </c>
      <c r="K33" s="16">
        <v>45016</v>
      </c>
      <c r="L33" s="13" t="s">
        <v>176</v>
      </c>
      <c r="M33" s="21">
        <v>45014</v>
      </c>
      <c r="N33" s="14" t="s">
        <v>99</v>
      </c>
    </row>
    <row r="34" spans="1:14" s="6" customFormat="1" ht="75" x14ac:dyDescent="0.25">
      <c r="A34" s="17" t="s">
        <v>100</v>
      </c>
      <c r="B34" s="18" t="s">
        <v>15</v>
      </c>
      <c r="C34" s="18" t="s">
        <v>16</v>
      </c>
      <c r="D34" s="17" t="str">
        <f t="shared" si="1"/>
        <v>23-AFFIDAMENTO DIRETTO</v>
      </c>
      <c r="E34" s="18" t="str">
        <f t="shared" si="2"/>
        <v>0000000000</v>
      </c>
      <c r="F34" s="18" t="s">
        <v>44</v>
      </c>
      <c r="G34" s="17" t="s">
        <v>44</v>
      </c>
      <c r="H34" s="18" t="str">
        <f>"1600,00"</f>
        <v>1600,00</v>
      </c>
      <c r="I34" s="18">
        <v>2023</v>
      </c>
      <c r="J34" s="19">
        <v>44952</v>
      </c>
      <c r="K34" s="19">
        <v>45046</v>
      </c>
      <c r="L34" s="18"/>
      <c r="M34" s="18"/>
      <c r="N34" s="20" t="s">
        <v>101</v>
      </c>
    </row>
    <row r="35" spans="1:14" s="6" customFormat="1" ht="75" x14ac:dyDescent="0.25">
      <c r="A35" s="17" t="s">
        <v>100</v>
      </c>
      <c r="B35" s="18" t="s">
        <v>15</v>
      </c>
      <c r="C35" s="18" t="s">
        <v>16</v>
      </c>
      <c r="D35" s="17" t="str">
        <f t="shared" si="1"/>
        <v>23-AFFIDAMENTO DIRETTO</v>
      </c>
      <c r="E35" s="18" t="str">
        <f t="shared" si="2"/>
        <v>0000000000</v>
      </c>
      <c r="F35" s="18" t="s">
        <v>42</v>
      </c>
      <c r="G35" s="17" t="s">
        <v>42</v>
      </c>
      <c r="H35" s="18" t="str">
        <f>"1600,00"</f>
        <v>1600,00</v>
      </c>
      <c r="I35" s="18">
        <v>2023</v>
      </c>
      <c r="J35" s="19">
        <v>44952</v>
      </c>
      <c r="K35" s="19">
        <v>45046</v>
      </c>
      <c r="L35" s="18"/>
      <c r="M35" s="18"/>
      <c r="N35" s="20" t="s">
        <v>102</v>
      </c>
    </row>
    <row r="36" spans="1:14" s="6" customFormat="1" ht="75" x14ac:dyDescent="0.25">
      <c r="A36" s="17" t="s">
        <v>100</v>
      </c>
      <c r="B36" s="18" t="s">
        <v>15</v>
      </c>
      <c r="C36" s="18" t="s">
        <v>16</v>
      </c>
      <c r="D36" s="17" t="str">
        <f t="shared" si="1"/>
        <v>23-AFFIDAMENTO DIRETTO</v>
      </c>
      <c r="E36" s="18" t="str">
        <f t="shared" si="2"/>
        <v>0000000000</v>
      </c>
      <c r="F36" s="18" t="s">
        <v>46</v>
      </c>
      <c r="G36" s="17" t="s">
        <v>46</v>
      </c>
      <c r="H36" s="18" t="str">
        <f>"1600,00"</f>
        <v>1600,00</v>
      </c>
      <c r="I36" s="18">
        <v>2023</v>
      </c>
      <c r="J36" s="19">
        <v>44952</v>
      </c>
      <c r="K36" s="19">
        <v>45046</v>
      </c>
      <c r="L36" s="18"/>
      <c r="M36" s="18"/>
      <c r="N36" s="20" t="s">
        <v>103</v>
      </c>
    </row>
    <row r="37" spans="1:14" s="5" customFormat="1" ht="30" x14ac:dyDescent="0.25">
      <c r="A37" s="12" t="s">
        <v>104</v>
      </c>
      <c r="B37" s="13" t="s">
        <v>15</v>
      </c>
      <c r="C37" s="13" t="s">
        <v>16</v>
      </c>
      <c r="D37" s="12" t="str">
        <f t="shared" si="1"/>
        <v>23-AFFIDAMENTO DIRETTO</v>
      </c>
      <c r="E37" s="13" t="s">
        <v>105</v>
      </c>
      <c r="F37" s="12" t="s">
        <v>106</v>
      </c>
      <c r="G37" s="12" t="s">
        <v>106</v>
      </c>
      <c r="H37" s="8" t="str">
        <f>"671,00"</f>
        <v>671,00</v>
      </c>
      <c r="I37" s="13">
        <v>2023</v>
      </c>
      <c r="J37" s="21">
        <v>44949</v>
      </c>
      <c r="K37" s="16">
        <v>44949</v>
      </c>
      <c r="L37" s="13" t="s">
        <v>181</v>
      </c>
      <c r="M37" s="21">
        <v>45014</v>
      </c>
      <c r="N37" s="14" t="s">
        <v>107</v>
      </c>
    </row>
    <row r="38" spans="1:14" s="5" customFormat="1" ht="30" x14ac:dyDescent="0.25">
      <c r="A38" s="12" t="s">
        <v>108</v>
      </c>
      <c r="B38" s="13" t="s">
        <v>15</v>
      </c>
      <c r="C38" s="13" t="s">
        <v>16</v>
      </c>
      <c r="D38" s="12" t="str">
        <f t="shared" si="1"/>
        <v>23-AFFIDAMENTO DIRETTO</v>
      </c>
      <c r="E38" s="13" t="s">
        <v>109</v>
      </c>
      <c r="F38" s="12" t="s">
        <v>110</v>
      </c>
      <c r="G38" s="12" t="s">
        <v>110</v>
      </c>
      <c r="H38" s="8" t="str">
        <f>"960,00"</f>
        <v>960,00</v>
      </c>
      <c r="I38" s="13">
        <v>2023</v>
      </c>
      <c r="J38" s="21">
        <v>44950</v>
      </c>
      <c r="K38" s="21">
        <v>45315</v>
      </c>
      <c r="L38" s="13" t="s">
        <v>178</v>
      </c>
      <c r="M38" s="21">
        <v>45014</v>
      </c>
      <c r="N38" s="14" t="s">
        <v>111</v>
      </c>
    </row>
    <row r="39" spans="1:14" s="5" customFormat="1" ht="60" x14ac:dyDescent="0.25">
      <c r="A39" s="12" t="s">
        <v>112</v>
      </c>
      <c r="B39" s="13" t="s">
        <v>15</v>
      </c>
      <c r="C39" s="13" t="s">
        <v>16</v>
      </c>
      <c r="D39" s="12" t="str">
        <f t="shared" si="1"/>
        <v>23-AFFIDAMENTO DIRETTO</v>
      </c>
      <c r="E39" s="13" t="s">
        <v>113</v>
      </c>
      <c r="F39" s="12" t="s">
        <v>114</v>
      </c>
      <c r="G39" s="12" t="s">
        <v>114</v>
      </c>
      <c r="H39" s="8" t="str">
        <f>"611,42"</f>
        <v>611,42</v>
      </c>
      <c r="I39" s="13">
        <v>2023</v>
      </c>
      <c r="J39" s="16">
        <v>44950</v>
      </c>
      <c r="K39" s="16">
        <v>44950</v>
      </c>
      <c r="L39" s="13" t="s">
        <v>182</v>
      </c>
      <c r="M39" s="21">
        <v>45014</v>
      </c>
      <c r="N39" s="14" t="s">
        <v>115</v>
      </c>
    </row>
    <row r="40" spans="1:14" s="5" customFormat="1" ht="90" x14ac:dyDescent="0.25">
      <c r="A40" s="12" t="s">
        <v>150</v>
      </c>
      <c r="B40" s="13" t="s">
        <v>15</v>
      </c>
      <c r="C40" s="13" t="s">
        <v>16</v>
      </c>
      <c r="D40" s="12" t="str">
        <f>"04-PROCEDURA NEGOZIATA SENZA PREVIA PUBBLICAZIONE"</f>
        <v>04-PROCEDURA NEGOZIATA SENZA PREVIA PUBBLICAZIONE</v>
      </c>
      <c r="E40" s="13" t="s">
        <v>151</v>
      </c>
      <c r="F40" s="12" t="s">
        <v>152</v>
      </c>
      <c r="G40" s="12" t="s">
        <v>152</v>
      </c>
      <c r="H40" s="8" t="str">
        <f>"2355,00"</f>
        <v>2355,00</v>
      </c>
      <c r="I40" s="13">
        <v>2023</v>
      </c>
      <c r="J40" s="16">
        <v>44927</v>
      </c>
      <c r="K40" s="16">
        <v>45291</v>
      </c>
      <c r="L40" s="13" t="s">
        <v>192</v>
      </c>
      <c r="M40" s="21">
        <v>45050</v>
      </c>
      <c r="N40" s="14" t="s">
        <v>116</v>
      </c>
    </row>
    <row r="41" spans="1:14" s="5" customFormat="1" ht="30" x14ac:dyDescent="0.25">
      <c r="A41" s="12" t="s">
        <v>155</v>
      </c>
      <c r="B41" s="13" t="s">
        <v>15</v>
      </c>
      <c r="C41" s="13" t="s">
        <v>16</v>
      </c>
      <c r="D41" s="12" t="str">
        <f>"23-AFFIDAMENTO DIRETTO"</f>
        <v>23-AFFIDAMENTO DIRETTO</v>
      </c>
      <c r="E41" s="13" t="s">
        <v>154</v>
      </c>
      <c r="F41" s="12" t="s">
        <v>156</v>
      </c>
      <c r="G41" s="12" t="s">
        <v>156</v>
      </c>
      <c r="H41" s="8" t="str">
        <f>"549,00"</f>
        <v>549,00</v>
      </c>
      <c r="I41" s="13">
        <v>2023</v>
      </c>
      <c r="J41" s="16">
        <v>44987</v>
      </c>
      <c r="K41" s="16">
        <v>45353</v>
      </c>
      <c r="L41" s="13" t="s">
        <v>179</v>
      </c>
      <c r="M41" s="21">
        <v>45036</v>
      </c>
      <c r="N41" s="14" t="s">
        <v>117</v>
      </c>
    </row>
    <row r="42" spans="1:14" s="5" customFormat="1" ht="30" x14ac:dyDescent="0.25">
      <c r="A42" s="12" t="s">
        <v>157</v>
      </c>
      <c r="B42" s="13" t="s">
        <v>15</v>
      </c>
      <c r="C42" s="13" t="s">
        <v>16</v>
      </c>
      <c r="D42" s="12" t="str">
        <f>"23-AFFIDAMENTO DIRETTO"</f>
        <v>23-AFFIDAMENTO DIRETTO</v>
      </c>
      <c r="E42" s="13" t="s">
        <v>158</v>
      </c>
      <c r="F42" s="12" t="s">
        <v>159</v>
      </c>
      <c r="G42" s="12" t="s">
        <v>159</v>
      </c>
      <c r="H42" s="8" t="str">
        <f>"18104,00"</f>
        <v>18104,00</v>
      </c>
      <c r="I42" s="13">
        <v>2023</v>
      </c>
      <c r="J42" s="16">
        <v>44988</v>
      </c>
      <c r="K42" s="16">
        <v>45415</v>
      </c>
      <c r="L42" s="13" t="s">
        <v>201</v>
      </c>
      <c r="M42" s="21">
        <v>45077</v>
      </c>
      <c r="N42" s="14" t="s">
        <v>118</v>
      </c>
    </row>
    <row r="43" spans="1:14" s="5" customFormat="1" ht="75" x14ac:dyDescent="0.25">
      <c r="A43" s="12" t="s">
        <v>160</v>
      </c>
      <c r="B43" s="13" t="s">
        <v>15</v>
      </c>
      <c r="C43" s="13" t="s">
        <v>16</v>
      </c>
      <c r="D43" s="12" t="str">
        <f>"23-AFFIDAMENTO DIRETTO"</f>
        <v>23-AFFIDAMENTO DIRETTO</v>
      </c>
      <c r="E43" s="13" t="s">
        <v>161</v>
      </c>
      <c r="F43" s="12" t="s">
        <v>174</v>
      </c>
      <c r="G43" s="12" t="s">
        <v>174</v>
      </c>
      <c r="H43" s="8" t="str">
        <f>"11560,00"</f>
        <v>11560,00</v>
      </c>
      <c r="I43" s="13">
        <v>2023</v>
      </c>
      <c r="J43" s="16">
        <v>44998</v>
      </c>
      <c r="K43" s="16">
        <v>45019</v>
      </c>
      <c r="L43" s="13" t="s">
        <v>180</v>
      </c>
      <c r="M43" s="21">
        <v>45068</v>
      </c>
      <c r="N43" s="14" t="s">
        <v>119</v>
      </c>
    </row>
    <row r="44" spans="1:14" s="5" customFormat="1" ht="45" x14ac:dyDescent="0.25">
      <c r="A44" s="12" t="str">
        <f>"progetto General Management skills -L'Italia nel 2050"</f>
        <v>progetto General Management skills -L'Italia nel 2050</v>
      </c>
      <c r="B44" s="13" t="s">
        <v>15</v>
      </c>
      <c r="C44" s="13" t="s">
        <v>16</v>
      </c>
      <c r="D44" s="12" t="str">
        <f>"04-PROCEDURA NEGOZIATA SENZA PREVIA PUBBLICAZIONE"</f>
        <v>04-PROCEDURA NEGOZIATA SENZA PREVIA PUBBLICAZIONE</v>
      </c>
      <c r="E44" s="13" t="str">
        <f>"Z143A67232"</f>
        <v>Z143A67232</v>
      </c>
      <c r="F44" s="12" t="str">
        <f>"Istituto Piepoli S.r.l., 03779980964"</f>
        <v>Istituto Piepoli S.r.l., 03779980964</v>
      </c>
      <c r="G44" s="12" t="str">
        <f>"Istituto Piepoli S.r.l., 03779980964"</f>
        <v>Istituto Piepoli S.r.l., 03779980964</v>
      </c>
      <c r="H44" s="8" t="str">
        <f>"24500,00"</f>
        <v>24500,00</v>
      </c>
      <c r="I44" s="13">
        <v>2023</v>
      </c>
      <c r="J44" s="16">
        <v>45054</v>
      </c>
      <c r="K44" s="16">
        <v>45077</v>
      </c>
      <c r="L44" s="13" t="s">
        <v>215</v>
      </c>
      <c r="M44" s="21">
        <v>45090</v>
      </c>
      <c r="N44" s="14" t="s">
        <v>120</v>
      </c>
    </row>
    <row r="45" spans="1:14" s="5" customFormat="1" ht="45" x14ac:dyDescent="0.25">
      <c r="A45" s="12" t="str">
        <f>"Progetto Erasmus+ Mobilità Malta - accompagnatore"</f>
        <v>Progetto Erasmus+ Mobilità Malta - accompagnatore</v>
      </c>
      <c r="B45" s="13" t="s">
        <v>15</v>
      </c>
      <c r="C45" s="13" t="s">
        <v>16</v>
      </c>
      <c r="D45" s="12" t="str">
        <f t="shared" ref="D45:D70" si="3">"23-AFFIDAMENTO DIRETTO"</f>
        <v>23-AFFIDAMENTO DIRETTO</v>
      </c>
      <c r="E45" s="13" t="str">
        <f t="shared" ref="E45:E50" si="4">"0000000000"</f>
        <v>0000000000</v>
      </c>
      <c r="F45" s="12" t="s">
        <v>167</v>
      </c>
      <c r="G45" s="12" t="s">
        <v>167</v>
      </c>
      <c r="H45" s="8" t="str">
        <f>"1120,00"</f>
        <v>1120,00</v>
      </c>
      <c r="I45" s="13">
        <v>2023</v>
      </c>
      <c r="J45" s="16">
        <v>45017</v>
      </c>
      <c r="K45" s="16">
        <v>45048</v>
      </c>
      <c r="L45" s="13"/>
      <c r="M45" s="13"/>
      <c r="N45" s="14" t="s">
        <v>162</v>
      </c>
    </row>
    <row r="46" spans="1:14" s="5" customFormat="1" ht="33" customHeight="1" x14ac:dyDescent="0.25">
      <c r="A46" s="12" t="str">
        <f>"Progetto Erasmus+ Mobilità Portogallo - accompagnatore"</f>
        <v>Progetto Erasmus+ Mobilità Portogallo - accompagnatore</v>
      </c>
      <c r="B46" s="13" t="s">
        <v>15</v>
      </c>
      <c r="C46" s="13" t="s">
        <v>16</v>
      </c>
      <c r="D46" s="12" t="str">
        <f t="shared" si="3"/>
        <v>23-AFFIDAMENTO DIRETTO</v>
      </c>
      <c r="E46" s="13" t="str">
        <f t="shared" si="4"/>
        <v>0000000000</v>
      </c>
      <c r="F46" s="12" t="str">
        <f>"Rabbiosi Alessandro, RBBLSN97L52F712Q"</f>
        <v>Rabbiosi Alessandro, RBBLSN97L52F712Q</v>
      </c>
      <c r="G46" s="12" t="str">
        <f>"Rabbiosi Alessandro, RBBLSN97L52F712Q"</f>
        <v>Rabbiosi Alessandro, RBBLSN97L52F712Q</v>
      </c>
      <c r="H46" s="8" t="str">
        <f>"1120,00"</f>
        <v>1120,00</v>
      </c>
      <c r="I46" s="13">
        <v>2023</v>
      </c>
      <c r="J46" s="16">
        <v>45019</v>
      </c>
      <c r="K46" s="16">
        <v>45049</v>
      </c>
      <c r="L46" s="13" t="str">
        <f>""</f>
        <v/>
      </c>
      <c r="M46" s="13"/>
      <c r="N46" s="14" t="s">
        <v>121</v>
      </c>
    </row>
    <row r="47" spans="1:14" s="5" customFormat="1" ht="45" x14ac:dyDescent="0.25">
      <c r="A47" s="12" t="str">
        <f>"Progetto Erasmus+ Mobilità Spagna - accompagnatore"</f>
        <v>Progetto Erasmus+ Mobilità Spagna - accompagnatore</v>
      </c>
      <c r="B47" s="13" t="s">
        <v>15</v>
      </c>
      <c r="C47" s="13" t="s">
        <v>16</v>
      </c>
      <c r="D47" s="12" t="str">
        <f t="shared" si="3"/>
        <v>23-AFFIDAMENTO DIRETTO</v>
      </c>
      <c r="E47" s="13" t="str">
        <f t="shared" si="4"/>
        <v>0000000000</v>
      </c>
      <c r="F47" s="12" t="s">
        <v>168</v>
      </c>
      <c r="G47" s="12" t="s">
        <v>168</v>
      </c>
      <c r="H47" s="8" t="str">
        <f>"1120,00"</f>
        <v>1120,00</v>
      </c>
      <c r="I47" s="13">
        <v>2023</v>
      </c>
      <c r="J47" s="16">
        <v>45011</v>
      </c>
      <c r="K47" s="16">
        <v>45040</v>
      </c>
      <c r="L47" s="13"/>
      <c r="M47" s="13"/>
      <c r="N47" s="14" t="s">
        <v>163</v>
      </c>
    </row>
    <row r="48" spans="1:14" s="5" customFormat="1" ht="45" x14ac:dyDescent="0.25">
      <c r="A48" s="12" t="str">
        <f>"Progetto Garanzia Occupabilità Lavoratori - orientamento"</f>
        <v>Progetto Garanzia Occupabilità Lavoratori - orientamento</v>
      </c>
      <c r="B48" s="13" t="s">
        <v>15</v>
      </c>
      <c r="C48" s="13" t="s">
        <v>16</v>
      </c>
      <c r="D48" s="12" t="str">
        <f t="shared" si="3"/>
        <v>23-AFFIDAMENTO DIRETTO</v>
      </c>
      <c r="E48" s="13" t="str">
        <f t="shared" si="4"/>
        <v>0000000000</v>
      </c>
      <c r="F48" s="12" t="s">
        <v>169</v>
      </c>
      <c r="G48" s="12" t="s">
        <v>169</v>
      </c>
      <c r="H48" s="8" t="str">
        <f>"3524,85"</f>
        <v>3524,85</v>
      </c>
      <c r="I48" s="13">
        <v>2023</v>
      </c>
      <c r="J48" s="16">
        <v>45007</v>
      </c>
      <c r="K48" s="16">
        <v>45107</v>
      </c>
      <c r="L48" s="13" t="s">
        <v>217</v>
      </c>
      <c r="M48" s="21">
        <v>45077</v>
      </c>
      <c r="N48" s="14" t="s">
        <v>164</v>
      </c>
    </row>
    <row r="49" spans="1:14" s="6" customFormat="1" ht="45" x14ac:dyDescent="0.25">
      <c r="A49" s="17" t="str">
        <f>"Progetto Garanzia Occupabilità Lavoratori - orientamento"</f>
        <v>Progetto Garanzia Occupabilità Lavoratori - orientamento</v>
      </c>
      <c r="B49" s="18" t="s">
        <v>15</v>
      </c>
      <c r="C49" s="18" t="s">
        <v>16</v>
      </c>
      <c r="D49" s="17" t="str">
        <f t="shared" si="3"/>
        <v>23-AFFIDAMENTO DIRETTO</v>
      </c>
      <c r="E49" s="18" t="str">
        <f t="shared" si="4"/>
        <v>0000000000</v>
      </c>
      <c r="F49" s="17" t="str">
        <f>"Longhi Maria Cristina, 08371601009"</f>
        <v>Longhi Maria Cristina, 08371601009</v>
      </c>
      <c r="G49" s="17" t="str">
        <f>"Longhi Maria Cristina, 08371601009"</f>
        <v>Longhi Maria Cristina, 08371601009</v>
      </c>
      <c r="H49" s="18" t="str">
        <f>"3916,50"</f>
        <v>3916,50</v>
      </c>
      <c r="I49" s="18">
        <v>2023</v>
      </c>
      <c r="J49" s="19">
        <v>45009</v>
      </c>
      <c r="K49" s="19">
        <v>45107</v>
      </c>
      <c r="L49" s="18" t="s">
        <v>218</v>
      </c>
      <c r="M49" s="21">
        <v>45077</v>
      </c>
      <c r="N49" s="20" t="s">
        <v>122</v>
      </c>
    </row>
    <row r="50" spans="1:14" s="6" customFormat="1" ht="45" x14ac:dyDescent="0.25">
      <c r="A50" s="17" t="str">
        <f>"Progetto Garanzia Occupabilità Lavoratori - orientamento"</f>
        <v>Progetto Garanzia Occupabilità Lavoratori - orientamento</v>
      </c>
      <c r="B50" s="18" t="s">
        <v>15</v>
      </c>
      <c r="C50" s="18" t="s">
        <v>16</v>
      </c>
      <c r="D50" s="17" t="str">
        <f t="shared" si="3"/>
        <v>23-AFFIDAMENTO DIRETTO</v>
      </c>
      <c r="E50" s="18" t="str">
        <f t="shared" si="4"/>
        <v>0000000000</v>
      </c>
      <c r="F50" s="17" t="s">
        <v>170</v>
      </c>
      <c r="G50" s="17" t="s">
        <v>170</v>
      </c>
      <c r="H50" s="18" t="str">
        <f>"3394,30"</f>
        <v>3394,30</v>
      </c>
      <c r="I50" s="18">
        <v>2023</v>
      </c>
      <c r="J50" s="19">
        <v>45008</v>
      </c>
      <c r="K50" s="19">
        <v>45138</v>
      </c>
      <c r="L50" s="18"/>
      <c r="M50" s="18"/>
      <c r="N50" s="20" t="s">
        <v>165</v>
      </c>
    </row>
    <row r="51" spans="1:14" s="5" customFormat="1" ht="30" x14ac:dyDescent="0.25">
      <c r="A51" s="12" t="str">
        <f>"Fornitura testi corso AAM 02.2023"</f>
        <v>Fornitura testi corso AAM 02.2023</v>
      </c>
      <c r="B51" s="13" t="s">
        <v>15</v>
      </c>
      <c r="C51" s="13" t="s">
        <v>16</v>
      </c>
      <c r="D51" s="12" t="str">
        <f t="shared" si="3"/>
        <v>23-AFFIDAMENTO DIRETTO</v>
      </c>
      <c r="E51" s="13" t="str">
        <f>"ZC43A78EE8"</f>
        <v>ZC43A78EE8</v>
      </c>
      <c r="F51" s="12" t="str">
        <f t="shared" ref="F51:G53" si="5">"MAGGIOLI SPA, 02066400405"</f>
        <v>MAGGIOLI SPA, 02066400405</v>
      </c>
      <c r="G51" s="12" t="str">
        <f t="shared" si="5"/>
        <v>MAGGIOLI SPA, 02066400405</v>
      </c>
      <c r="H51" s="8" t="str">
        <f>"467,50"</f>
        <v>467,50</v>
      </c>
      <c r="I51" s="13">
        <v>2023</v>
      </c>
      <c r="J51" s="16">
        <v>45006</v>
      </c>
      <c r="K51" s="16">
        <v>45012</v>
      </c>
      <c r="L51" s="13" t="s">
        <v>206</v>
      </c>
      <c r="M51" s="21">
        <v>45077</v>
      </c>
      <c r="N51" s="14" t="s">
        <v>123</v>
      </c>
    </row>
    <row r="52" spans="1:14" s="5" customFormat="1" ht="30" x14ac:dyDescent="0.25">
      <c r="A52" s="12" t="str">
        <f>"Fornitura testi corso EX REC 01.2023"</f>
        <v>Fornitura testi corso EX REC 01.2023</v>
      </c>
      <c r="B52" s="13" t="s">
        <v>15</v>
      </c>
      <c r="C52" s="13" t="s">
        <v>16</v>
      </c>
      <c r="D52" s="12" t="str">
        <f t="shared" si="3"/>
        <v>23-AFFIDAMENTO DIRETTO</v>
      </c>
      <c r="E52" s="13" t="str">
        <f>"Z303A78F37"</f>
        <v>Z303A78F37</v>
      </c>
      <c r="F52" s="12" t="str">
        <f t="shared" si="5"/>
        <v>MAGGIOLI SPA, 02066400405</v>
      </c>
      <c r="G52" s="12" t="str">
        <f t="shared" si="5"/>
        <v>MAGGIOLI SPA, 02066400405</v>
      </c>
      <c r="H52" s="8" t="str">
        <f>"162,00"</f>
        <v>162,00</v>
      </c>
      <c r="I52" s="13">
        <v>2023</v>
      </c>
      <c r="J52" s="16">
        <v>46467</v>
      </c>
      <c r="K52" s="16">
        <v>46473</v>
      </c>
      <c r="L52" s="13" t="s">
        <v>204</v>
      </c>
      <c r="M52" s="21">
        <v>45077</v>
      </c>
      <c r="N52" s="14" t="s">
        <v>124</v>
      </c>
    </row>
    <row r="53" spans="1:14" s="5" customFormat="1" ht="30" x14ac:dyDescent="0.25">
      <c r="A53" s="12" t="str">
        <f>"Fornitura testi corso AAM ARC 01.2023"</f>
        <v>Fornitura testi corso AAM ARC 01.2023</v>
      </c>
      <c r="B53" s="13" t="s">
        <v>15</v>
      </c>
      <c r="C53" s="13" t="s">
        <v>16</v>
      </c>
      <c r="D53" s="12" t="str">
        <f t="shared" si="3"/>
        <v>23-AFFIDAMENTO DIRETTO</v>
      </c>
      <c r="E53" s="13" t="str">
        <f>"Z503A78F04"</f>
        <v>Z503A78F04</v>
      </c>
      <c r="F53" s="12" t="str">
        <f t="shared" si="5"/>
        <v>MAGGIOLI SPA, 02066400405</v>
      </c>
      <c r="G53" s="12" t="str">
        <f t="shared" si="5"/>
        <v>MAGGIOLI SPA, 02066400405</v>
      </c>
      <c r="H53" s="8" t="str">
        <f>"640,00"</f>
        <v>640,00</v>
      </c>
      <c r="I53" s="13">
        <v>2023</v>
      </c>
      <c r="J53" s="16">
        <v>45006</v>
      </c>
      <c r="K53" s="16">
        <v>45012</v>
      </c>
      <c r="L53" s="13" t="s">
        <v>205</v>
      </c>
      <c r="M53" s="21">
        <v>45077</v>
      </c>
      <c r="N53" s="14" t="s">
        <v>125</v>
      </c>
    </row>
    <row r="54" spans="1:14" s="5" customFormat="1" ht="45" x14ac:dyDescent="0.25">
      <c r="A54" s="12" t="str">
        <f>"docenza corso AIM 02/2023 - Nozioni diritto tributario e diritto finanziario"</f>
        <v>docenza corso AIM 02/2023 - Nozioni diritto tributario e diritto finanziario</v>
      </c>
      <c r="B54" s="13" t="s">
        <v>15</v>
      </c>
      <c r="C54" s="13" t="s">
        <v>16</v>
      </c>
      <c r="D54" s="12" t="str">
        <f t="shared" si="3"/>
        <v>23-AFFIDAMENTO DIRETTO</v>
      </c>
      <c r="E54" s="13" t="str">
        <f t="shared" ref="E54:E70" si="6">"0000000000"</f>
        <v>0000000000</v>
      </c>
      <c r="F54" s="12" t="str">
        <f>"DONDA PAOLO, 07143251002"</f>
        <v>DONDA PAOLO, 07143251002</v>
      </c>
      <c r="G54" s="12" t="str">
        <f>"DONDA PAOLO, 07143251002"</f>
        <v>DONDA PAOLO, 07143251002</v>
      </c>
      <c r="H54" s="8" t="str">
        <f>"1330,00"</f>
        <v>1330,00</v>
      </c>
      <c r="I54" s="13">
        <v>2023</v>
      </c>
      <c r="J54" s="16">
        <v>45012</v>
      </c>
      <c r="K54" s="16">
        <v>45071</v>
      </c>
      <c r="L54" s="13" t="str">
        <f>""</f>
        <v/>
      </c>
      <c r="M54" s="13"/>
      <c r="N54" s="14" t="s">
        <v>126</v>
      </c>
    </row>
    <row r="55" spans="1:14" s="5" customFormat="1" ht="30" x14ac:dyDescent="0.25">
      <c r="A55" s="12" t="str">
        <f>"docenza corso AIM 01/2023 - Nozioni diritto civile"</f>
        <v>docenza corso AIM 01/2023 - Nozioni diritto civile</v>
      </c>
      <c r="B55" s="13" t="s">
        <v>15</v>
      </c>
      <c r="C55" s="13" t="s">
        <v>16</v>
      </c>
      <c r="D55" s="12" t="str">
        <f t="shared" si="3"/>
        <v>23-AFFIDAMENTO DIRETTO</v>
      </c>
      <c r="E55" s="13" t="str">
        <f t="shared" si="6"/>
        <v>0000000000</v>
      </c>
      <c r="F55" s="12" t="str">
        <f>"Iembo Elena, 02459670796"</f>
        <v>Iembo Elena, 02459670796</v>
      </c>
      <c r="G55" s="12" t="str">
        <f>"Iembo Elena, 02459670796"</f>
        <v>Iembo Elena, 02459670796</v>
      </c>
      <c r="H55" s="8" t="str">
        <f>"1260,00"</f>
        <v>1260,00</v>
      </c>
      <c r="I55" s="13">
        <v>2023</v>
      </c>
      <c r="J55" s="16">
        <v>45012</v>
      </c>
      <c r="K55" s="16">
        <v>45071</v>
      </c>
      <c r="L55" s="13" t="str">
        <f>""</f>
        <v/>
      </c>
      <c r="M55" s="13"/>
      <c r="N55" s="14" t="s">
        <v>127</v>
      </c>
    </row>
    <row r="56" spans="1:14" s="5" customFormat="1" ht="30" x14ac:dyDescent="0.25">
      <c r="A56" s="12" t="str">
        <f>"docenza corso AIM 02/2023 - nozioni di estimo"</f>
        <v>docenza corso AIM 02/2023 - nozioni di estimo</v>
      </c>
      <c r="B56" s="13" t="s">
        <v>15</v>
      </c>
      <c r="C56" s="13" t="s">
        <v>16</v>
      </c>
      <c r="D56" s="12" t="str">
        <f t="shared" si="3"/>
        <v>23-AFFIDAMENTO DIRETTO</v>
      </c>
      <c r="E56" s="13" t="str">
        <f t="shared" si="6"/>
        <v>0000000000</v>
      </c>
      <c r="F56" s="12" t="str">
        <f>"ROSA MANGANO, 02356250783"</f>
        <v>ROSA MANGANO, 02356250783</v>
      </c>
      <c r="G56" s="12" t="str">
        <f>"ROSA MANGANO, 02356250783"</f>
        <v>ROSA MANGANO, 02356250783</v>
      </c>
      <c r="H56" s="8" t="str">
        <f>"1310,40"</f>
        <v>1310,40</v>
      </c>
      <c r="I56" s="13">
        <v>2023</v>
      </c>
      <c r="J56" s="16">
        <v>45012</v>
      </c>
      <c r="K56" s="16">
        <v>45071</v>
      </c>
      <c r="L56" s="13" t="s">
        <v>213</v>
      </c>
      <c r="M56" s="21">
        <v>45090</v>
      </c>
      <c r="N56" s="14" t="s">
        <v>128</v>
      </c>
    </row>
    <row r="57" spans="1:14" s="5" customFormat="1" ht="30" x14ac:dyDescent="0.25">
      <c r="A57" s="12" t="str">
        <f>"docenza corso AIM 02/2023 - Nozioni diritto amm.vo"</f>
        <v>docenza corso AIM 02/2023 - Nozioni diritto amm.vo</v>
      </c>
      <c r="B57" s="13" t="s">
        <v>15</v>
      </c>
      <c r="C57" s="13" t="s">
        <v>16</v>
      </c>
      <c r="D57" s="12" t="str">
        <f t="shared" si="3"/>
        <v>23-AFFIDAMENTO DIRETTO</v>
      </c>
      <c r="E57" s="13" t="str">
        <f t="shared" si="6"/>
        <v>0000000000</v>
      </c>
      <c r="F57" s="12" t="str">
        <f>"PIZZULLO MICHELE, 06407131009"</f>
        <v>PIZZULLO MICHELE, 06407131009</v>
      </c>
      <c r="G57" s="12" t="str">
        <f>"PIZZULLO MICHELE, 06407131009"</f>
        <v>PIZZULLO MICHELE, 06407131009</v>
      </c>
      <c r="H57" s="8" t="str">
        <f>"714,00"</f>
        <v>714,00</v>
      </c>
      <c r="I57" s="13">
        <v>2023</v>
      </c>
      <c r="J57" s="16">
        <v>45009</v>
      </c>
      <c r="K57" s="16">
        <v>45071</v>
      </c>
      <c r="L57" s="13" t="s">
        <v>214</v>
      </c>
      <c r="M57" s="21">
        <v>45090</v>
      </c>
      <c r="N57" s="14" t="s">
        <v>129</v>
      </c>
    </row>
    <row r="58" spans="1:14" s="5" customFormat="1" ht="45" x14ac:dyDescent="0.25">
      <c r="A58" s="12" t="str">
        <f>"docenza corso AIM 02/2023 - nozioni di Diritto Commerciale"</f>
        <v>docenza corso AIM 02/2023 - nozioni di Diritto Commerciale</v>
      </c>
      <c r="B58" s="13" t="s">
        <v>15</v>
      </c>
      <c r="C58" s="13" t="s">
        <v>16</v>
      </c>
      <c r="D58" s="12" t="str">
        <f t="shared" si="3"/>
        <v>23-AFFIDAMENTO DIRETTO</v>
      </c>
      <c r="E58" s="13" t="str">
        <f t="shared" si="6"/>
        <v>0000000000</v>
      </c>
      <c r="F58" s="12" t="str">
        <f>"Piacentini Marcello, 07761221006"</f>
        <v>Piacentini Marcello, 07761221006</v>
      </c>
      <c r="G58" s="12" t="str">
        <f>"Piacentini Marcello, 07761221006"</f>
        <v>Piacentini Marcello, 07761221006</v>
      </c>
      <c r="H58" s="8" t="str">
        <f>"700,00"</f>
        <v>700,00</v>
      </c>
      <c r="I58" s="13">
        <v>2023</v>
      </c>
      <c r="J58" s="16">
        <v>45012</v>
      </c>
      <c r="K58" s="16">
        <v>45071</v>
      </c>
      <c r="L58" s="13" t="str">
        <f>""</f>
        <v/>
      </c>
      <c r="M58" s="13"/>
      <c r="N58" s="14" t="s">
        <v>130</v>
      </c>
    </row>
    <row r="59" spans="1:14" s="5" customFormat="1" ht="30" x14ac:dyDescent="0.25">
      <c r="A59" s="12" t="s">
        <v>131</v>
      </c>
      <c r="B59" s="13" t="s">
        <v>15</v>
      </c>
      <c r="C59" s="13" t="s">
        <v>16</v>
      </c>
      <c r="D59" s="12" t="str">
        <f t="shared" si="3"/>
        <v>23-AFFIDAMENTO DIRETTO</v>
      </c>
      <c r="E59" s="13" t="str">
        <f t="shared" si="6"/>
        <v>0000000000</v>
      </c>
      <c r="F59" s="12" t="str">
        <f>"DONDA PAOLO, 07143251002"</f>
        <v>DONDA PAOLO, 07143251002</v>
      </c>
      <c r="G59" s="12" t="str">
        <f>"DONDA PAOLO, 07143251002"</f>
        <v>DONDA PAOLO, 07143251002</v>
      </c>
      <c r="H59" s="8" t="str">
        <f>"700,00"</f>
        <v>700,00</v>
      </c>
      <c r="I59" s="13">
        <v>2023</v>
      </c>
      <c r="J59" s="16">
        <v>45012</v>
      </c>
      <c r="K59" s="16">
        <v>45070</v>
      </c>
      <c r="L59" s="13" t="str">
        <f>""</f>
        <v/>
      </c>
      <c r="M59" s="13"/>
      <c r="N59" s="14" t="s">
        <v>132</v>
      </c>
    </row>
    <row r="60" spans="1:14" s="5" customFormat="1" ht="60" x14ac:dyDescent="0.25">
      <c r="A60" s="12" t="str">
        <f>"docenza corso ARC 01/2023 - “Tutela previdenziale ed assistenziale” e “Disciplina Legislativa contrattuale”"</f>
        <v>docenza corso ARC 01/2023 - “Tutela previdenziale ed assistenziale” e “Disciplina Legislativa contrattuale”</v>
      </c>
      <c r="B60" s="13" t="s">
        <v>15</v>
      </c>
      <c r="C60" s="13" t="s">
        <v>16</v>
      </c>
      <c r="D60" s="12" t="str">
        <f t="shared" si="3"/>
        <v>23-AFFIDAMENTO DIRETTO</v>
      </c>
      <c r="E60" s="13" t="str">
        <f t="shared" si="6"/>
        <v>0000000000</v>
      </c>
      <c r="F60" s="12" t="str">
        <f>"FLAVIA LOZZI, LZZFLV73C58H501V"</f>
        <v>FLAVIA LOZZI, LZZFLV73C58H501V</v>
      </c>
      <c r="G60" s="12" t="str">
        <f>"FLAVIA LOZZI, LZZFLV73C58H501V"</f>
        <v>FLAVIA LOZZI, LZZFLV73C58H501V</v>
      </c>
      <c r="H60" s="8" t="str">
        <f>"1884,40"</f>
        <v>1884,40</v>
      </c>
      <c r="I60" s="13">
        <v>2023</v>
      </c>
      <c r="J60" s="16">
        <v>45012</v>
      </c>
      <c r="K60" s="16">
        <v>45070</v>
      </c>
      <c r="L60" s="13" t="s">
        <v>211</v>
      </c>
      <c r="M60" s="21">
        <v>45090</v>
      </c>
      <c r="N60" s="14" t="s">
        <v>133</v>
      </c>
    </row>
    <row r="61" spans="1:14" s="5" customFormat="1" ht="45" x14ac:dyDescent="0.25">
      <c r="A61" s="12" t="str">
        <f>"docenza corso ARC 01/2023 - nozioni di Diritto Commerciale"</f>
        <v>docenza corso ARC 01/2023 - nozioni di Diritto Commerciale</v>
      </c>
      <c r="B61" s="13" t="s">
        <v>15</v>
      </c>
      <c r="C61" s="13" t="s">
        <v>16</v>
      </c>
      <c r="D61" s="12" t="str">
        <f t="shared" si="3"/>
        <v>23-AFFIDAMENTO DIRETTO</v>
      </c>
      <c r="E61" s="13" t="str">
        <f t="shared" si="6"/>
        <v>0000000000</v>
      </c>
      <c r="F61" s="12" t="str">
        <f>"CLEMENZI FEDERICO, 08865531001"</f>
        <v>CLEMENZI FEDERICO, 08865531001</v>
      </c>
      <c r="G61" s="12" t="str">
        <f>"CLEMENZI FEDERICO, 08865531001"</f>
        <v>CLEMENZI FEDERICO, 08865531001</v>
      </c>
      <c r="H61" s="8" t="str">
        <f>"730,00"</f>
        <v>730,00</v>
      </c>
      <c r="I61" s="13">
        <v>2023</v>
      </c>
      <c r="J61" s="16">
        <v>45012</v>
      </c>
      <c r="K61" s="16">
        <v>45070</v>
      </c>
      <c r="L61" s="13" t="s">
        <v>188</v>
      </c>
      <c r="M61" s="21">
        <v>45090</v>
      </c>
      <c r="N61" s="14" t="s">
        <v>134</v>
      </c>
    </row>
    <row r="62" spans="1:14" s="5" customFormat="1" ht="45" x14ac:dyDescent="0.25">
      <c r="A62" s="12" t="str">
        <f>"docenza corso ARC 01/2023 - Organizzazione e tecniche di vendita"</f>
        <v>docenza corso ARC 01/2023 - Organizzazione e tecniche di vendita</v>
      </c>
      <c r="B62" s="13" t="s">
        <v>15</v>
      </c>
      <c r="C62" s="13" t="s">
        <v>16</v>
      </c>
      <c r="D62" s="12" t="str">
        <f t="shared" si="3"/>
        <v>23-AFFIDAMENTO DIRETTO</v>
      </c>
      <c r="E62" s="13" t="str">
        <f t="shared" si="6"/>
        <v>0000000000</v>
      </c>
      <c r="F62" s="12" t="str">
        <f>"Placidi Osvaldo, 10487991001"</f>
        <v>Placidi Osvaldo, 10487991001</v>
      </c>
      <c r="G62" s="12" t="str">
        <f>"Placidi Osvaldo, 10487991001"</f>
        <v>Placidi Osvaldo, 10487991001</v>
      </c>
      <c r="H62" s="8" t="str">
        <f>"1110,00"</f>
        <v>1110,00</v>
      </c>
      <c r="I62" s="13">
        <v>2023</v>
      </c>
      <c r="J62" s="16">
        <v>45009</v>
      </c>
      <c r="K62" s="16">
        <v>45070</v>
      </c>
      <c r="L62" s="13" t="s">
        <v>210</v>
      </c>
      <c r="M62" s="21">
        <v>45090</v>
      </c>
      <c r="N62" s="14" t="s">
        <v>135</v>
      </c>
    </row>
    <row r="63" spans="1:14" s="5" customFormat="1" ht="45" x14ac:dyDescent="0.25">
      <c r="A63" s="12" t="str">
        <f>"Progetto Erasmus+ Mobilità Francia - accompagnatore"</f>
        <v>Progetto Erasmus+ Mobilità Francia - accompagnatore</v>
      </c>
      <c r="B63" s="13" t="s">
        <v>15</v>
      </c>
      <c r="C63" s="13" t="s">
        <v>16</v>
      </c>
      <c r="D63" s="12" t="str">
        <f t="shared" si="3"/>
        <v>23-AFFIDAMENTO DIRETTO</v>
      </c>
      <c r="E63" s="13" t="str">
        <f t="shared" si="6"/>
        <v>0000000000</v>
      </c>
      <c r="F63" s="12" t="str">
        <f>"Letizia Pirrone, PRRLTZ95E46A944K"</f>
        <v>Letizia Pirrone, PRRLTZ95E46A944K</v>
      </c>
      <c r="G63" s="12" t="str">
        <f>"Letizia Pirrone, PRRLTZ95E46A944K"</f>
        <v>Letizia Pirrone, PRRLTZ95E46A944K</v>
      </c>
      <c r="H63" s="8" t="str">
        <f>"1120,00"</f>
        <v>1120,00</v>
      </c>
      <c r="I63" s="13">
        <v>2023</v>
      </c>
      <c r="J63" s="16">
        <v>45022</v>
      </c>
      <c r="K63" s="16">
        <v>45053</v>
      </c>
      <c r="L63" s="13" t="str">
        <f>""</f>
        <v/>
      </c>
      <c r="M63" s="13"/>
      <c r="N63" s="14" t="s">
        <v>136</v>
      </c>
    </row>
    <row r="64" spans="1:14" s="5" customFormat="1" ht="30" x14ac:dyDescent="0.25">
      <c r="A64" s="12" t="str">
        <f>"docenza corso EX REC 01/2023 - Legislazione fiscal"</f>
        <v>docenza corso EX REC 01/2023 - Legislazione fiscal</v>
      </c>
      <c r="B64" s="13" t="s">
        <v>15</v>
      </c>
      <c r="C64" s="13" t="s">
        <v>16</v>
      </c>
      <c r="D64" s="12" t="str">
        <f t="shared" si="3"/>
        <v>23-AFFIDAMENTO DIRETTO</v>
      </c>
      <c r="E64" s="13" t="str">
        <f t="shared" si="6"/>
        <v>0000000000</v>
      </c>
      <c r="F64" s="12" t="str">
        <f>"DONDA PAOLO, 07143251002"</f>
        <v>DONDA PAOLO, 07143251002</v>
      </c>
      <c r="G64" s="12" t="str">
        <f>"DONDA PAOLO, 07143251002"</f>
        <v>DONDA PAOLO, 07143251002</v>
      </c>
      <c r="H64" s="8" t="str">
        <f>"560,00"</f>
        <v>560,00</v>
      </c>
      <c r="I64" s="13">
        <v>2023</v>
      </c>
      <c r="J64" s="16">
        <v>45012</v>
      </c>
      <c r="K64" s="16">
        <v>45077</v>
      </c>
      <c r="L64" s="13" t="str">
        <f>""</f>
        <v/>
      </c>
      <c r="M64" s="13"/>
      <c r="N64" s="14" t="s">
        <v>137</v>
      </c>
    </row>
    <row r="65" spans="1:14" s="5" customFormat="1" ht="45" x14ac:dyDescent="0.25">
      <c r="A65" s="12" t="str">
        <f>"docenza corso EX REC 01/2023 - Merceologia alimentare"</f>
        <v>docenza corso EX REC 01/2023 - Merceologia alimentare</v>
      </c>
      <c r="B65" s="13" t="s">
        <v>15</v>
      </c>
      <c r="C65" s="13" t="s">
        <v>16</v>
      </c>
      <c r="D65" s="12" t="str">
        <f t="shared" si="3"/>
        <v>23-AFFIDAMENTO DIRETTO</v>
      </c>
      <c r="E65" s="13" t="str">
        <f t="shared" si="6"/>
        <v>0000000000</v>
      </c>
      <c r="F65" s="12" t="str">
        <f>"INVERSI FILIPPO, 11340141008"</f>
        <v>INVERSI FILIPPO, 11340141008</v>
      </c>
      <c r="G65" s="12" t="str">
        <f>"INVERSI FILIPPO, 11340141008"</f>
        <v>INVERSI FILIPPO, 11340141008</v>
      </c>
      <c r="H65" s="8" t="str">
        <f>"910,00"</f>
        <v>910,00</v>
      </c>
      <c r="I65" s="13">
        <v>2023</v>
      </c>
      <c r="J65" s="16">
        <v>45012</v>
      </c>
      <c r="K65" s="16">
        <v>45077</v>
      </c>
      <c r="L65" s="13" t="str">
        <f>""</f>
        <v/>
      </c>
      <c r="M65" s="13"/>
      <c r="N65" s="14" t="s">
        <v>138</v>
      </c>
    </row>
    <row r="66" spans="1:14" s="5" customFormat="1" ht="60" x14ac:dyDescent="0.25">
      <c r="A66" s="12" t="s">
        <v>139</v>
      </c>
      <c r="B66" s="13" t="s">
        <v>15</v>
      </c>
      <c r="C66" s="13" t="s">
        <v>16</v>
      </c>
      <c r="D66" s="12" t="str">
        <f t="shared" si="3"/>
        <v>23-AFFIDAMENTO DIRETTO</v>
      </c>
      <c r="E66" s="13" t="str">
        <f t="shared" si="6"/>
        <v>0000000000</v>
      </c>
      <c r="F66" s="12" t="str">
        <f>"Leonardi Elisa Maria, 16132801008"</f>
        <v>Leonardi Elisa Maria, 16132801008</v>
      </c>
      <c r="G66" s="12" t="str">
        <f>"Leonardi Elisa Maria, 16132801008"</f>
        <v>Leonardi Elisa Maria, 16132801008</v>
      </c>
      <c r="H66" s="8" t="str">
        <f>"655,20"</f>
        <v>655,20</v>
      </c>
      <c r="I66" s="13">
        <v>2023</v>
      </c>
      <c r="J66" s="16">
        <v>45012</v>
      </c>
      <c r="K66" s="16">
        <v>45077</v>
      </c>
      <c r="L66" s="13" t="s">
        <v>198</v>
      </c>
      <c r="M66" s="21">
        <v>45056</v>
      </c>
      <c r="N66" s="14" t="s">
        <v>140</v>
      </c>
    </row>
    <row r="67" spans="1:14" s="5" customFormat="1" ht="45" x14ac:dyDescent="0.25">
      <c r="A67" s="12" t="str">
        <f>"docenza corso EX REC 01/2023 - Legislazione del commercio"</f>
        <v>docenza corso EX REC 01/2023 - Legislazione del commercio</v>
      </c>
      <c r="B67" s="13" t="s">
        <v>15</v>
      </c>
      <c r="C67" s="13" t="s">
        <v>16</v>
      </c>
      <c r="D67" s="12" t="str">
        <f t="shared" si="3"/>
        <v>23-AFFIDAMENTO DIRETTO</v>
      </c>
      <c r="E67" s="13" t="str">
        <f t="shared" si="6"/>
        <v>0000000000</v>
      </c>
      <c r="F67" s="12" t="str">
        <f>"LOZZI FLAVIA, 06970671001"</f>
        <v>LOZZI FLAVIA, 06970671001</v>
      </c>
      <c r="G67" s="12" t="str">
        <f>"LOZZI FLAVIA, 06970671001"</f>
        <v>LOZZI FLAVIA, 06970671001</v>
      </c>
      <c r="H67" s="8" t="str">
        <f>"630,00"</f>
        <v>630,00</v>
      </c>
      <c r="I67" s="13">
        <v>2023</v>
      </c>
      <c r="J67" s="16">
        <v>45012</v>
      </c>
      <c r="K67" s="16">
        <v>45077</v>
      </c>
      <c r="L67" s="13" t="str">
        <f>""</f>
        <v/>
      </c>
      <c r="M67" s="13"/>
      <c r="N67" s="14" t="s">
        <v>141</v>
      </c>
    </row>
    <row r="68" spans="1:14" s="5" customFormat="1" ht="60" x14ac:dyDescent="0.25">
      <c r="A68" s="12" t="str">
        <f>"docenza corso EX REC 01/2023 - Diritto Commerciale e amministrazione aziendale"</f>
        <v>docenza corso EX REC 01/2023 - Diritto Commerciale e amministrazione aziendale</v>
      </c>
      <c r="B68" s="13" t="s">
        <v>15</v>
      </c>
      <c r="C68" s="13" t="s">
        <v>16</v>
      </c>
      <c r="D68" s="12" t="str">
        <f t="shared" si="3"/>
        <v>23-AFFIDAMENTO DIRETTO</v>
      </c>
      <c r="E68" s="13" t="str">
        <f t="shared" si="6"/>
        <v>0000000000</v>
      </c>
      <c r="F68" s="12" t="str">
        <f>"CLEMENZI FEDERICO, 08865531001"</f>
        <v>CLEMENZI FEDERICO, 08865531001</v>
      </c>
      <c r="G68" s="12" t="str">
        <f>"CLEMENZI FEDERICO, 08865531001"</f>
        <v>CLEMENZI FEDERICO, 08865531001</v>
      </c>
      <c r="H68" s="8" t="str">
        <f>"584,40"</f>
        <v>584,40</v>
      </c>
      <c r="I68" s="13">
        <v>2023</v>
      </c>
      <c r="J68" s="16">
        <v>45012</v>
      </c>
      <c r="K68" s="16">
        <v>45077</v>
      </c>
      <c r="L68" s="13" t="s">
        <v>212</v>
      </c>
      <c r="M68" s="21">
        <v>45090</v>
      </c>
      <c r="N68" s="14" t="s">
        <v>142</v>
      </c>
    </row>
    <row r="69" spans="1:14" s="5" customFormat="1" ht="45" x14ac:dyDescent="0.25">
      <c r="A69" s="12" t="str">
        <f>"docenza corso EX REC 01/2023 - Legislazione sociale e penale"</f>
        <v>docenza corso EX REC 01/2023 - Legislazione sociale e penale</v>
      </c>
      <c r="B69" s="13" t="s">
        <v>15</v>
      </c>
      <c r="C69" s="13" t="s">
        <v>16</v>
      </c>
      <c r="D69" s="12" t="str">
        <f t="shared" si="3"/>
        <v>23-AFFIDAMENTO DIRETTO</v>
      </c>
      <c r="E69" s="13" t="str">
        <f t="shared" si="6"/>
        <v>0000000000</v>
      </c>
      <c r="F69" s="12" t="str">
        <f>"D'Agostino Antonio Giuseppe, 10831110589"</f>
        <v>D'Agostino Antonio Giuseppe, 10831110589</v>
      </c>
      <c r="G69" s="12" t="str">
        <f>"D'Agostino Antonio Giuseppe, 10831110589"</f>
        <v>D'Agostino Antonio Giuseppe, 10831110589</v>
      </c>
      <c r="H69" s="8" t="str">
        <f>"560,00"</f>
        <v>560,00</v>
      </c>
      <c r="I69" s="13">
        <v>2023</v>
      </c>
      <c r="J69" s="16">
        <v>45012</v>
      </c>
      <c r="K69" s="16">
        <v>45077</v>
      </c>
      <c r="L69" s="13" t="str">
        <f>""</f>
        <v/>
      </c>
      <c r="M69" s="13"/>
      <c r="N69" s="14" t="s">
        <v>143</v>
      </c>
    </row>
    <row r="70" spans="1:14" s="5" customFormat="1" ht="45" x14ac:dyDescent="0.25">
      <c r="A70" s="12" t="str">
        <f>"docenza corso EX REC 01/2023 - Tecniche di vendita”."</f>
        <v>docenza corso EX REC 01/2023 - Tecniche di vendita”.</v>
      </c>
      <c r="B70" s="13" t="s">
        <v>15</v>
      </c>
      <c r="C70" s="13" t="s">
        <v>16</v>
      </c>
      <c r="D70" s="12" t="str">
        <f t="shared" si="3"/>
        <v>23-AFFIDAMENTO DIRETTO</v>
      </c>
      <c r="E70" s="13" t="str">
        <f t="shared" si="6"/>
        <v>0000000000</v>
      </c>
      <c r="F70" s="12" t="str">
        <f>"Placidi Osvaldo, 10487991001"</f>
        <v>Placidi Osvaldo, 10487991001</v>
      </c>
      <c r="G70" s="12" t="str">
        <f>"Placidi Osvaldo, 10487991001"</f>
        <v>Placidi Osvaldo, 10487991001</v>
      </c>
      <c r="H70" s="8" t="str">
        <f>"350,00"</f>
        <v>350,00</v>
      </c>
      <c r="I70" s="13">
        <v>2023</v>
      </c>
      <c r="J70" s="16">
        <v>45012</v>
      </c>
      <c r="K70" s="16">
        <v>45077</v>
      </c>
      <c r="L70" s="13" t="str">
        <f>""</f>
        <v/>
      </c>
      <c r="M70" s="13"/>
      <c r="N70" s="14" t="s">
        <v>144</v>
      </c>
    </row>
  </sheetData>
  <autoFilter ref="A3:N70" xr:uid="{00000000-0001-0000-0000-000000000000}"/>
  <sortState xmlns:xlrd2="http://schemas.microsoft.com/office/spreadsheetml/2017/richdata2" ref="A3:XFD5">
    <sortCondition ref="N3:N5"/>
  </sortState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D36D0-513D-4F5E-A606-F425D913A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33577E-10E2-46A0-A78F-3B7E77D576AF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13412684-6154-48EC-AF70-1372A25184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Giulio Lilli</dc:creator>
  <cp:keywords/>
  <dc:description/>
  <cp:lastModifiedBy>Giulio Lilli</cp:lastModifiedBy>
  <cp:revision/>
  <dcterms:created xsi:type="dcterms:W3CDTF">2023-06-14T13:11:04Z</dcterms:created>
  <dcterms:modified xsi:type="dcterms:W3CDTF">2023-06-26T08:58:29Z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