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"/>
    </mc:Choice>
  </mc:AlternateContent>
  <xr:revisionPtr revIDLastSave="1655" documentId="8_{61EC051F-EB24-453E-BC9A-45B1719E83FF}" xr6:coauthVersionLast="47" xr6:coauthVersionMax="47" xr10:uidLastSave="{9F91F572-F21D-4137-8BA2-EB91C24AB31E}"/>
  <bookViews>
    <workbookView xWindow="-120" yWindow="-120" windowWidth="29040" windowHeight="15840" xr2:uid="{00000000-000D-0000-FFFF-FFFF00000000}"/>
  </bookViews>
  <sheets>
    <sheet name="in" sheetId="1" r:id="rId1"/>
  </sheets>
  <definedNames>
    <definedName name="_xlnm._FilterDatabase" localSheetId="0" hidden="1">in!$A$3:$N$124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H104" i="1"/>
  <c r="D104" i="1"/>
  <c r="H96" i="1"/>
  <c r="E105" i="1"/>
  <c r="D105" i="1"/>
  <c r="D96" i="1"/>
  <c r="H125" i="1"/>
  <c r="D125" i="1"/>
  <c r="H110" i="1"/>
  <c r="D110" i="1"/>
  <c r="H94" i="1"/>
  <c r="D94" i="1"/>
  <c r="H93" i="1"/>
  <c r="E93" i="1"/>
  <c r="D93" i="1"/>
  <c r="A93" i="1"/>
  <c r="H81" i="1"/>
  <c r="E81" i="1"/>
  <c r="D81" i="1"/>
  <c r="H117" i="1" l="1"/>
  <c r="D117" i="1"/>
  <c r="H80" i="1"/>
  <c r="G80" i="1"/>
  <c r="F80" i="1"/>
  <c r="E80" i="1"/>
  <c r="D80" i="1"/>
  <c r="A80" i="1"/>
  <c r="H57" i="1"/>
  <c r="H56" i="1"/>
  <c r="H68" i="1"/>
  <c r="H61" i="1"/>
  <c r="H60" i="1"/>
  <c r="H62" i="1"/>
  <c r="H10" i="1"/>
  <c r="H51" i="1"/>
  <c r="H53" i="1"/>
  <c r="H75" i="1"/>
  <c r="G75" i="1"/>
  <c r="F75" i="1"/>
  <c r="D75" i="1"/>
  <c r="A75" i="1"/>
  <c r="H95" i="1"/>
  <c r="H66" i="1"/>
  <c r="H73" i="1"/>
  <c r="G73" i="1"/>
  <c r="F73" i="1"/>
  <c r="D73" i="1"/>
  <c r="A73" i="1"/>
  <c r="H30" i="1"/>
  <c r="H28" i="1"/>
  <c r="H27" i="1"/>
  <c r="H26" i="1"/>
  <c r="H37" i="1"/>
  <c r="H38" i="1"/>
  <c r="H123" i="1"/>
  <c r="D123" i="1"/>
  <c r="H124" i="1"/>
  <c r="E124" i="1"/>
  <c r="D124" i="1"/>
  <c r="H122" i="1"/>
  <c r="E122" i="1"/>
  <c r="D122" i="1"/>
  <c r="H121" i="1"/>
  <c r="D121" i="1"/>
  <c r="H120" i="1"/>
  <c r="E120" i="1"/>
  <c r="D120" i="1"/>
  <c r="H119" i="1"/>
  <c r="E119" i="1"/>
  <c r="D119" i="1"/>
  <c r="H118" i="1"/>
  <c r="E118" i="1"/>
  <c r="D118" i="1"/>
  <c r="A118" i="1"/>
  <c r="H116" i="1"/>
  <c r="H115" i="1"/>
  <c r="H114" i="1"/>
  <c r="E116" i="1"/>
  <c r="D116" i="1"/>
  <c r="E115" i="1"/>
  <c r="D115" i="1"/>
  <c r="E114" i="1"/>
  <c r="D114" i="1"/>
  <c r="H113" i="1"/>
  <c r="E113" i="1"/>
  <c r="D113" i="1"/>
  <c r="H112" i="1"/>
  <c r="E112" i="1"/>
  <c r="E111" i="1"/>
  <c r="D112" i="1"/>
  <c r="H111" i="1"/>
  <c r="D111" i="1"/>
  <c r="H109" i="1"/>
  <c r="D109" i="1"/>
  <c r="H108" i="1"/>
  <c r="H107" i="1"/>
  <c r="E108" i="1"/>
  <c r="E107" i="1"/>
  <c r="D108" i="1"/>
  <c r="D107" i="1"/>
  <c r="H106" i="1"/>
  <c r="D106" i="1"/>
  <c r="H103" i="1"/>
  <c r="G103" i="1"/>
  <c r="F103" i="1"/>
  <c r="D103" i="1"/>
  <c r="H99" i="1"/>
  <c r="G99" i="1"/>
  <c r="F99" i="1"/>
  <c r="H102" i="1"/>
  <c r="H101" i="1"/>
  <c r="H98" i="1"/>
  <c r="G100" i="1"/>
  <c r="F100" i="1"/>
  <c r="H100" i="1"/>
  <c r="A102" i="1"/>
  <c r="E102" i="1"/>
  <c r="D102" i="1"/>
  <c r="A101" i="1"/>
  <c r="G101" i="1"/>
  <c r="F101" i="1"/>
  <c r="E101" i="1"/>
  <c r="D101" i="1"/>
  <c r="A100" i="1"/>
  <c r="E100" i="1"/>
  <c r="D100" i="1"/>
  <c r="A99" i="1"/>
  <c r="D99" i="1"/>
  <c r="A98" i="1"/>
  <c r="G98" i="1"/>
  <c r="F98" i="1"/>
  <c r="E98" i="1"/>
  <c r="D98" i="1"/>
  <c r="H97" i="1"/>
  <c r="D97" i="1"/>
  <c r="A92" i="1"/>
  <c r="D92" i="1"/>
  <c r="E92" i="1"/>
  <c r="F92" i="1"/>
  <c r="G92" i="1"/>
  <c r="H92" i="1"/>
  <c r="D95" i="1"/>
  <c r="G79" i="1"/>
  <c r="F79" i="1"/>
  <c r="H83" i="1"/>
  <c r="E83" i="1"/>
  <c r="D83" i="1"/>
  <c r="H78" i="1"/>
  <c r="H77" i="1"/>
  <c r="E78" i="1"/>
  <c r="D78" i="1"/>
  <c r="E77" i="1"/>
  <c r="D77" i="1"/>
  <c r="H50" i="1" l="1"/>
  <c r="E50" i="1"/>
  <c r="D50" i="1"/>
  <c r="A50" i="1"/>
  <c r="H48" i="1"/>
  <c r="E48" i="1"/>
  <c r="D48" i="1"/>
  <c r="A48" i="1"/>
  <c r="A47" i="1"/>
  <c r="A45" i="1"/>
  <c r="H47" i="1"/>
  <c r="E47" i="1"/>
  <c r="D47" i="1"/>
  <c r="H45" i="1"/>
  <c r="E45" i="1"/>
  <c r="D45" i="1"/>
  <c r="A46" i="1"/>
  <c r="A51" i="1"/>
  <c r="D51" i="1"/>
  <c r="E51" i="1"/>
  <c r="F51" i="1"/>
  <c r="G51" i="1"/>
  <c r="H43" i="1"/>
  <c r="D43" i="1"/>
  <c r="H42" i="1"/>
  <c r="D42" i="1"/>
  <c r="H41" i="1"/>
  <c r="D41" i="1"/>
  <c r="H40" i="1"/>
  <c r="D40" i="1"/>
  <c r="H36" i="1"/>
  <c r="H35" i="1"/>
  <c r="H34" i="1"/>
  <c r="H24" i="1"/>
  <c r="D24" i="1"/>
  <c r="H21" i="1" l="1"/>
  <c r="D21" i="1"/>
  <c r="H18" i="1"/>
  <c r="D18" i="1"/>
  <c r="H8" i="1"/>
  <c r="D8" i="1"/>
  <c r="H7" i="1"/>
  <c r="D7" i="1"/>
  <c r="H20" i="1"/>
  <c r="D20" i="1"/>
  <c r="H9" i="1"/>
  <c r="D9" i="1"/>
  <c r="D38" i="1"/>
  <c r="D30" i="1"/>
  <c r="H29" i="1"/>
  <c r="D29" i="1"/>
  <c r="D28" i="1"/>
  <c r="D27" i="1"/>
  <c r="D26" i="1"/>
  <c r="H39" i="1"/>
  <c r="D39" i="1"/>
  <c r="H3" i="1"/>
  <c r="D3" i="1"/>
  <c r="D37" i="1"/>
  <c r="E36" i="1"/>
  <c r="D36" i="1"/>
  <c r="E35" i="1"/>
  <c r="D35" i="1"/>
  <c r="E34" i="1"/>
  <c r="D34" i="1"/>
  <c r="H33" i="1"/>
  <c r="E33" i="1"/>
  <c r="D33" i="1"/>
  <c r="H32" i="1"/>
  <c r="E32" i="1"/>
  <c r="E31" i="1"/>
  <c r="D32" i="1"/>
  <c r="H31" i="1"/>
  <c r="D31" i="1"/>
  <c r="A57" i="1"/>
  <c r="H23" i="1"/>
  <c r="D23" i="1"/>
  <c r="H22" i="1"/>
  <c r="D22" i="1"/>
  <c r="H19" i="1"/>
  <c r="D19" i="1"/>
  <c r="H17" i="1"/>
  <c r="D17" i="1"/>
  <c r="H16" i="1"/>
  <c r="D16" i="1"/>
  <c r="H15" i="1"/>
  <c r="D15" i="1"/>
  <c r="H14" i="1"/>
  <c r="D14" i="1"/>
  <c r="D10" i="1"/>
  <c r="D13" i="1"/>
  <c r="D12" i="1"/>
  <c r="D11" i="1"/>
  <c r="D4" i="1"/>
  <c r="D5" i="1"/>
  <c r="H13" i="1"/>
  <c r="H12" i="1"/>
  <c r="H11" i="1"/>
  <c r="H4" i="1"/>
  <c r="H5" i="1"/>
  <c r="A54" i="1"/>
  <c r="A69" i="1"/>
  <c r="A68" i="1"/>
  <c r="A70" i="1"/>
  <c r="A67" i="1"/>
  <c r="A65" i="1"/>
  <c r="A64" i="1"/>
  <c r="A62" i="1"/>
  <c r="A61" i="1"/>
  <c r="A60" i="1"/>
  <c r="A58" i="1"/>
  <c r="A56" i="1"/>
  <c r="A55" i="1"/>
  <c r="A53" i="1"/>
  <c r="A52" i="1"/>
  <c r="A49" i="1"/>
  <c r="A63" i="1"/>
  <c r="A71" i="1"/>
  <c r="A76" i="1"/>
  <c r="A74" i="1"/>
  <c r="A44" i="1"/>
  <c r="A89" i="1"/>
  <c r="A90" i="1"/>
  <c r="A88" i="1"/>
  <c r="A6" i="1"/>
  <c r="A82" i="1"/>
  <c r="A85" i="1"/>
  <c r="A86" i="1"/>
  <c r="E69" i="1"/>
  <c r="E68" i="1"/>
  <c r="E70" i="1"/>
  <c r="E67" i="1"/>
  <c r="E65" i="1"/>
  <c r="E64" i="1"/>
  <c r="E62" i="1"/>
  <c r="E61" i="1"/>
  <c r="E60" i="1"/>
  <c r="E59" i="1"/>
  <c r="E58" i="1"/>
  <c r="E57" i="1"/>
  <c r="E56" i="1"/>
  <c r="E66" i="1"/>
  <c r="E55" i="1"/>
  <c r="E54" i="1"/>
  <c r="E53" i="1"/>
  <c r="E52" i="1"/>
  <c r="E49" i="1"/>
  <c r="E63" i="1"/>
  <c r="E46" i="1"/>
  <c r="E79" i="1"/>
  <c r="E72" i="1"/>
  <c r="E71" i="1"/>
  <c r="E76" i="1"/>
  <c r="E74" i="1"/>
  <c r="E44" i="1"/>
  <c r="E89" i="1"/>
  <c r="E90" i="1"/>
  <c r="E88" i="1"/>
  <c r="E6" i="1"/>
  <c r="E82" i="1"/>
  <c r="E85" i="1"/>
  <c r="E86" i="1"/>
  <c r="E91" i="1"/>
  <c r="D69" i="1"/>
  <c r="D68" i="1"/>
  <c r="D70" i="1"/>
  <c r="D67" i="1"/>
  <c r="D65" i="1"/>
  <c r="D64" i="1"/>
  <c r="D62" i="1"/>
  <c r="D61" i="1"/>
  <c r="D60" i="1"/>
  <c r="D59" i="1"/>
  <c r="D58" i="1"/>
  <c r="D57" i="1"/>
  <c r="D56" i="1"/>
  <c r="D66" i="1"/>
  <c r="D55" i="1"/>
  <c r="D54" i="1"/>
  <c r="D53" i="1"/>
  <c r="D52" i="1"/>
  <c r="D49" i="1"/>
  <c r="D63" i="1"/>
  <c r="D46" i="1"/>
  <c r="D25" i="1"/>
  <c r="D79" i="1"/>
  <c r="D72" i="1"/>
  <c r="D71" i="1"/>
  <c r="D76" i="1"/>
  <c r="D74" i="1"/>
  <c r="D44" i="1"/>
  <c r="D89" i="1"/>
  <c r="D90" i="1"/>
  <c r="D88" i="1"/>
  <c r="D6" i="1"/>
  <c r="D82" i="1"/>
  <c r="D85" i="1"/>
  <c r="D86" i="1"/>
  <c r="D91" i="1"/>
  <c r="F91" i="1"/>
  <c r="G91" i="1"/>
  <c r="H91" i="1"/>
  <c r="L91" i="1"/>
  <c r="H86" i="1"/>
  <c r="L86" i="1"/>
  <c r="F85" i="1"/>
  <c r="G85" i="1"/>
  <c r="H85" i="1"/>
  <c r="L85" i="1"/>
  <c r="F82" i="1"/>
  <c r="G82" i="1"/>
  <c r="H82" i="1"/>
  <c r="L82" i="1"/>
  <c r="F6" i="1"/>
  <c r="G6" i="1"/>
  <c r="H6" i="1"/>
  <c r="L6" i="1"/>
  <c r="F88" i="1"/>
  <c r="G88" i="1"/>
  <c r="H88" i="1"/>
  <c r="F90" i="1"/>
  <c r="G90" i="1"/>
  <c r="H90" i="1"/>
  <c r="L90" i="1"/>
  <c r="F89" i="1"/>
  <c r="G89" i="1"/>
  <c r="H89" i="1"/>
  <c r="L89" i="1"/>
  <c r="F44" i="1"/>
  <c r="G44" i="1"/>
  <c r="H44" i="1"/>
  <c r="F74" i="1"/>
  <c r="G74" i="1"/>
  <c r="H74" i="1"/>
  <c r="F76" i="1"/>
  <c r="G76" i="1"/>
  <c r="H76" i="1"/>
  <c r="L76" i="1"/>
  <c r="F71" i="1"/>
  <c r="G71" i="1"/>
  <c r="H71" i="1"/>
  <c r="L71" i="1"/>
  <c r="F72" i="1"/>
  <c r="G72" i="1"/>
  <c r="H72" i="1"/>
  <c r="L72" i="1"/>
  <c r="H79" i="1"/>
  <c r="F25" i="1"/>
  <c r="G25" i="1"/>
  <c r="H25" i="1"/>
  <c r="L25" i="1"/>
  <c r="F46" i="1"/>
  <c r="G46" i="1"/>
  <c r="H46" i="1"/>
  <c r="L46" i="1"/>
  <c r="F63" i="1"/>
  <c r="G63" i="1"/>
  <c r="H63" i="1"/>
  <c r="L63" i="1"/>
  <c r="F49" i="1"/>
  <c r="G49" i="1"/>
  <c r="H49" i="1"/>
  <c r="F52" i="1"/>
  <c r="G52" i="1"/>
  <c r="H52" i="1"/>
  <c r="F53" i="1"/>
  <c r="G53" i="1"/>
  <c r="F54" i="1"/>
  <c r="G54" i="1"/>
  <c r="H54" i="1"/>
  <c r="L54" i="1"/>
  <c r="F55" i="1"/>
  <c r="G55" i="1"/>
  <c r="H55" i="1"/>
  <c r="L55" i="1"/>
  <c r="F66" i="1"/>
  <c r="G66" i="1"/>
  <c r="F56" i="1"/>
  <c r="G56" i="1"/>
  <c r="F57" i="1"/>
  <c r="G57" i="1"/>
  <c r="F58" i="1"/>
  <c r="G58" i="1"/>
  <c r="H58" i="1"/>
  <c r="L58" i="1"/>
  <c r="F59" i="1"/>
  <c r="G59" i="1"/>
  <c r="H59" i="1"/>
  <c r="L59" i="1"/>
  <c r="F60" i="1"/>
  <c r="G60" i="1"/>
  <c r="F61" i="1"/>
  <c r="G61" i="1"/>
  <c r="F62" i="1"/>
  <c r="G62" i="1"/>
  <c r="F64" i="1"/>
  <c r="G64" i="1"/>
  <c r="H64" i="1"/>
  <c r="L64" i="1"/>
  <c r="F65" i="1"/>
  <c r="G65" i="1"/>
  <c r="H65" i="1"/>
  <c r="L65" i="1"/>
  <c r="F67" i="1"/>
  <c r="G67" i="1"/>
  <c r="H67" i="1"/>
  <c r="L67" i="1"/>
  <c r="F70" i="1"/>
  <c r="G70" i="1"/>
  <c r="H70" i="1"/>
  <c r="L70" i="1"/>
  <c r="F68" i="1"/>
  <c r="G68" i="1"/>
  <c r="F69" i="1"/>
  <c r="G69" i="1"/>
  <c r="H69" i="1"/>
  <c r="L69" i="1"/>
</calcChain>
</file>

<file path=xl/sharedStrings.xml><?xml version="1.0" encoding="utf-8"?>
<sst xmlns="http://schemas.openxmlformats.org/spreadsheetml/2006/main" count="726" uniqueCount="348">
  <si>
    <t>Oggetto</t>
  </si>
  <si>
    <t>Denominazione azienda appaltante</t>
  </si>
  <si>
    <t>Codice fiscale azienda appaltante</t>
  </si>
  <si>
    <t>Procedura di scelta del contraente</t>
  </si>
  <si>
    <t>Codice CIG</t>
  </si>
  <si>
    <t>Partecipanti alla procedura</t>
  </si>
  <si>
    <t>Aggiudicatari della procedura</t>
  </si>
  <si>
    <t>Importo di aggiudicazione al netto dell'IVA</t>
  </si>
  <si>
    <t>Anno di riferimento</t>
  </si>
  <si>
    <t>Data di effettivo inizio dei lavori o forniture</t>
  </si>
  <si>
    <t>Data di ultimazione dei lavori o forniture</t>
  </si>
  <si>
    <t>Importo liquidato</t>
  </si>
  <si>
    <t>Data ultimo pagamento</t>
  </si>
  <si>
    <t>Delibera a contrarre</t>
  </si>
  <si>
    <t>Servizio di RSPP e messa a disposizione del Medico Competente</t>
  </si>
  <si>
    <t>Forma Camera</t>
  </si>
  <si>
    <t>08801501001</t>
  </si>
  <si>
    <t>ZE93995A84</t>
  </si>
  <si>
    <t>TecnoService Camere c.f. 04786421000</t>
  </si>
  <si>
    <t>220/2022</t>
  </si>
  <si>
    <t>Assistenza e consulenza del lavoro anno 2023</t>
  </si>
  <si>
    <t>0000000000</t>
  </si>
  <si>
    <t>Bonuglia Rita c.f. 02406390589</t>
  </si>
  <si>
    <t>221/2022</t>
  </si>
  <si>
    <t>Assistenza fiscale anno 2023</t>
  </si>
  <si>
    <t>Grimani Mauro c.f. 08914870582</t>
  </si>
  <si>
    <t>222/2022</t>
  </si>
  <si>
    <t>Progetto "Project Management Europa 2030" Assistemza e mantenimento accreditamento</t>
  </si>
  <si>
    <t>Z813958B5A</t>
  </si>
  <si>
    <t>MMG Formazione srl c.f. 11733641002</t>
  </si>
  <si>
    <t>232/2022</t>
  </si>
  <si>
    <t xml:space="preserve">Manutenzione sistema rileìvazione presenze </t>
  </si>
  <si>
    <t>Z9739EC945</t>
  </si>
  <si>
    <t>Eltime srl c.f. 03717821007</t>
  </si>
  <si>
    <t>233/2023</t>
  </si>
  <si>
    <t>Rinnovo software contabilità TS Vialibera</t>
  </si>
  <si>
    <t>ZB23AF38E0</t>
  </si>
  <si>
    <t>Team System spa c.f. 01035310414</t>
  </si>
  <si>
    <t>236/2022</t>
  </si>
  <si>
    <t>Percorso PCTO "Dietro le quinte"</t>
  </si>
  <si>
    <t>01/2023</t>
  </si>
  <si>
    <t>Progetto "Competenze per Orientare e formare al lavoro" Laboratorio mestieri "Frida Khalo; Monet; Van Gogh"</t>
  </si>
  <si>
    <t>Ricci Marina c.f. 13448841000</t>
  </si>
  <si>
    <t>02/2023</t>
  </si>
  <si>
    <t>Lepore Concetta c.f. 11407491007</t>
  </si>
  <si>
    <t>03/2023</t>
  </si>
  <si>
    <t>Gilone Barbara c.f. 13848781004</t>
  </si>
  <si>
    <t>04/2023</t>
  </si>
  <si>
    <t>Progetto "Competenze per Orientare e formare al lavoro" Laboratorio mestieri "Lezioni di cinema"</t>
  </si>
  <si>
    <t>05/2023</t>
  </si>
  <si>
    <t>Progetto "Competenze per Orientare e formare al lavoro" Laboratorio mestieri "Mediazione linguistica"</t>
  </si>
  <si>
    <t>Attanasio Giorgiana c.f. 16518221003</t>
  </si>
  <si>
    <t>06/2023</t>
  </si>
  <si>
    <t>Progetto "Competenze per Orientare e formare al lavoro" Laboratorio mestieri "Orafo"</t>
  </si>
  <si>
    <t>07/2023</t>
  </si>
  <si>
    <t>Progetto "Competenze per Orientare e formare al lavoro" Laboratorio mestieri "Cappellaio"</t>
  </si>
  <si>
    <t>Marianetti Matilde c.f. MRNMLD94P45H501J</t>
  </si>
  <si>
    <t>08/2023</t>
  </si>
  <si>
    <t>Percorso PCTO "Assicurazione"</t>
  </si>
  <si>
    <t>09/2023</t>
  </si>
  <si>
    <t>Percorso PCTO "Fisco e Scuola"</t>
  </si>
  <si>
    <t>ZEB3A4F4E5</t>
  </si>
  <si>
    <t>Scacchetti Rosella c.f. 13953211003</t>
  </si>
  <si>
    <t>10/2023</t>
  </si>
  <si>
    <t>Percorso PCTO "Maxxi Art work"</t>
  </si>
  <si>
    <t>Z5C39A5E93</t>
  </si>
  <si>
    <t>Fondazione Maxxi c.f. 10587971002</t>
  </si>
  <si>
    <t>11/2023</t>
  </si>
  <si>
    <t>Percorso PCTO "Immobiliari"</t>
  </si>
  <si>
    <t>12/2023</t>
  </si>
  <si>
    <t>Percorso PCTO "Guida turistica"</t>
  </si>
  <si>
    <t>13/2023</t>
  </si>
  <si>
    <t>14/2023</t>
  </si>
  <si>
    <t xml:space="preserve">Protocollo </t>
  </si>
  <si>
    <t>15/2023</t>
  </si>
  <si>
    <t>Percorso PCTO "Assicurazioni"</t>
  </si>
  <si>
    <t>16/2023</t>
  </si>
  <si>
    <t>Docenza corso AAM 01/2023 Nozioni di Diritto Civile e Nozioni diritto amm.vo"</t>
  </si>
  <si>
    <t>Z4039B1929</t>
  </si>
  <si>
    <t>Pizzullo Michele c.c. 06407131009</t>
  </si>
  <si>
    <t>17/2023</t>
  </si>
  <si>
    <t>Docenza corso AAM 01/2023 Nozioni di Diritto Tributario"</t>
  </si>
  <si>
    <t>Cusano Alessandro c.f. 14787671008</t>
  </si>
  <si>
    <t>18/2023</t>
  </si>
  <si>
    <t>Docenza corso AAM 01/2023 Nozioni di Diritto Commerciale</t>
  </si>
  <si>
    <t>Clemenzi Federico c.f. 08865531001</t>
  </si>
  <si>
    <t>19/2023</t>
  </si>
  <si>
    <t>Docenza corso AAM 01/2023 Nozioni di estimo</t>
  </si>
  <si>
    <t>20/2023</t>
  </si>
  <si>
    <t>Docenza corso AAM 01/2023 Nozioni di Diritto Finanziario</t>
  </si>
  <si>
    <t>Cataldo Salvatore c.f. 06502131003</t>
  </si>
  <si>
    <t>21/2023</t>
  </si>
  <si>
    <t>Percorso PCTO "information Technology"</t>
  </si>
  <si>
    <t>Coiante Giovanni Battista c.f. CNTGNN88T13H501K</t>
  </si>
  <si>
    <t>22/2023</t>
  </si>
  <si>
    <t>Percorso PCTO "Receptionist d'Albergo"</t>
  </si>
  <si>
    <t>Centineo Pietro c.f.CNTPTR58A03H501X</t>
  </si>
  <si>
    <t>23/2023</t>
  </si>
  <si>
    <t>Piscopo Angela c.f. 10516791000</t>
  </si>
  <si>
    <t>24/2023</t>
  </si>
  <si>
    <t>Progetto "Competenze per Orientare e formare al lavoro" Laboratorio mestieri "Un giorno in centro"</t>
  </si>
  <si>
    <t>25/2023</t>
  </si>
  <si>
    <t>26/2023</t>
  </si>
  <si>
    <t>27/2023</t>
  </si>
  <si>
    <t>Materiale informatico</t>
  </si>
  <si>
    <t>ZC8398E0DE</t>
  </si>
  <si>
    <t>Kora Sistemi Informatici c.f. 02048930206</t>
  </si>
  <si>
    <t>28/2023</t>
  </si>
  <si>
    <t>Rinnovo mail up Console</t>
  </si>
  <si>
    <t>ZE739A4259</t>
  </si>
  <si>
    <t>Growens spa c.f. 01279550196</t>
  </si>
  <si>
    <t>29/2023</t>
  </si>
  <si>
    <t>Progetto "Competenze per Orientare e formare al lavoro" Materiale di cancelleria</t>
  </si>
  <si>
    <t>Z99399E5C0</t>
  </si>
  <si>
    <t>Mondoffice srl c.f. 07491520156</t>
  </si>
  <si>
    <t>30/2023</t>
  </si>
  <si>
    <t>31/2023</t>
  </si>
  <si>
    <t>32/2023</t>
  </si>
  <si>
    <t>33/2023</t>
  </si>
  <si>
    <t>34/2023</t>
  </si>
  <si>
    <t>35/2023</t>
  </si>
  <si>
    <t>37/2023</t>
  </si>
  <si>
    <t>40/2023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</si>
  <si>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</si>
  <si>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</si>
  <si>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</si>
  <si>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</si>
  <si>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</si>
  <si>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</si>
  <si>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</si>
  <si>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</si>
  <si>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docenza corso ARC01/2023 - "Legislazione tributaria""</t>
  </si>
  <si>
    <t>50/2023</t>
  </si>
  <si>
    <t>51/2023</t>
  </si>
  <si>
    <t>52/2023</t>
  </si>
  <si>
    <t>53/2023</t>
  </si>
  <si>
    <t>54/2023</t>
  </si>
  <si>
    <t>55/2023</t>
  </si>
  <si>
    <t>56/2023</t>
  </si>
  <si>
    <t>docenza corso ex Rec 01/2023 - "Legislazione igienico sanitaria" e "HACCP""</t>
  </si>
  <si>
    <t>57/2023</t>
  </si>
  <si>
    <t>58/2023</t>
  </si>
  <si>
    <t>59/2023</t>
  </si>
  <si>
    <t>60/2023</t>
  </si>
  <si>
    <t>61/2023</t>
  </si>
  <si>
    <t>62/2023</t>
  </si>
  <si>
    <t>piattaforma gestione - rendicontazione progetto "Fondo Nuove Competenze""</t>
  </si>
  <si>
    <t>63/2023</t>
  </si>
  <si>
    <t>65/2023</t>
  </si>
  <si>
    <t>67/2023</t>
  </si>
  <si>
    <t>70/2023</t>
  </si>
  <si>
    <t>73/2023</t>
  </si>
  <si>
    <t>76/2023</t>
  </si>
  <si>
    <t>77/2023</t>
  </si>
  <si>
    <t>79/2023</t>
  </si>
  <si>
    <t>80/2023</t>
  </si>
  <si>
    <t>81/2023</t>
  </si>
  <si>
    <t>Percorso PCTO "I Social parlano di te"</t>
  </si>
  <si>
    <t>82/2023</t>
  </si>
  <si>
    <t>87/2023</t>
  </si>
  <si>
    <t>Fantozzi Massimiliano c.f. FNT MSM 65R13 H501C</t>
  </si>
  <si>
    <t>Pennisi Pasquale c.f. PNNPQL70M27C351G</t>
  </si>
  <si>
    <t>Fantozzi Massimiliano c.f. FNTMSM65R13H501C</t>
  </si>
  <si>
    <t>ZB93512396</t>
  </si>
  <si>
    <t>PA digitale spa c.f. 06628860964</t>
  </si>
  <si>
    <t>rinnovo dell’utilizzo della work station cloud dedicata (windows 10 Pro+ KD OILK) e del software software KD OIL per la Gestione dei servizi bancari</t>
  </si>
  <si>
    <t xml:space="preserve"> Z6A3A1453B</t>
  </si>
  <si>
    <t>KD Software Srls c.f. 01679660553</t>
  </si>
  <si>
    <t>Pizzullo Michele c.f. 06407131009</t>
  </si>
  <si>
    <t>ZE53A3342F</t>
  </si>
  <si>
    <t>Matomo Cloud 100000 hits/mese - 1 anno</t>
  </si>
  <si>
    <t>Microchips snc c.f. 03066850755</t>
  </si>
  <si>
    <t>Buoni pasto anno 2023-2024</t>
  </si>
  <si>
    <t>ZBD3A3286C</t>
  </si>
  <si>
    <t>Repas lunch coupon c.f. 01964741001</t>
  </si>
  <si>
    <t>Progetto “Transizione Green e sostenibilità” Percorso “Il ruolo delle PMI nella transizione energetica”;</t>
  </si>
  <si>
    <t>ZA03A38589</t>
  </si>
  <si>
    <t>36/2023</t>
  </si>
  <si>
    <t>38/2023</t>
  </si>
  <si>
    <t>39/2023</t>
  </si>
  <si>
    <t>41/2023</t>
  </si>
  <si>
    <t>64/2023</t>
  </si>
  <si>
    <t>66/2023</t>
  </si>
  <si>
    <t>68/2023</t>
  </si>
  <si>
    <t>69/2023</t>
  </si>
  <si>
    <t>71/2023</t>
  </si>
  <si>
    <t>72/2023</t>
  </si>
  <si>
    <t>74/2023</t>
  </si>
  <si>
    <t>78/2023</t>
  </si>
  <si>
    <t>75/2023</t>
  </si>
  <si>
    <t>83/2023</t>
  </si>
  <si>
    <t>84/2023</t>
  </si>
  <si>
    <t>85/2023</t>
  </si>
  <si>
    <t>86/2023</t>
  </si>
  <si>
    <t>231/2022</t>
  </si>
  <si>
    <t>Ferramondo Chiara c.f. FRRCHR95H42E783G</t>
  </si>
  <si>
    <t>De Laurentis Barbara c.f. DLRBBR84M49H501A</t>
  </si>
  <si>
    <t>Tosi Emanuela c.f. TSOMNL87B43H501N</t>
  </si>
  <si>
    <t>Progetto Potenziamento Servizi Porta Futuro Lazui</t>
  </si>
  <si>
    <t>Progetto Potenziamento Servizi Porta Futuro Lazio - Sportello Impresa</t>
  </si>
  <si>
    <t xml:space="preserve">Progetto Potenziamento Servizi Porta Futuro Lazio - Segreteria e tutoraggio </t>
  </si>
  <si>
    <t>Fumarola Stefania, 07476761007</t>
  </si>
  <si>
    <t>Pompili Sara, 11092771003</t>
  </si>
  <si>
    <t>Cini Carlo, 16891631000</t>
  </si>
  <si>
    <t xml:space="preserve">Domini Formacamera.it e formacamera.com </t>
  </si>
  <si>
    <t>Aruba S.p.A., 01573850516</t>
  </si>
  <si>
    <t>88/2023</t>
  </si>
  <si>
    <t>89/2023</t>
  </si>
  <si>
    <t>90/2023</t>
  </si>
  <si>
    <t>Rinnovo licenza antivirus</t>
  </si>
  <si>
    <t>91/2023</t>
  </si>
  <si>
    <t>92/2023</t>
  </si>
  <si>
    <t>93/2023</t>
  </si>
  <si>
    <t>Loiudice Nicoletta, 11734871004</t>
  </si>
  <si>
    <t>Z8A3B3C4B2</t>
  </si>
  <si>
    <t>Testi corso AIM 03/2023</t>
  </si>
  <si>
    <t>Z143B3C444</t>
  </si>
  <si>
    <t>94/2023</t>
  </si>
  <si>
    <t>95/2023</t>
  </si>
  <si>
    <t>96/2023</t>
  </si>
  <si>
    <t>97/2023</t>
  </si>
  <si>
    <t>Adobe creative cloude - rinnovo annuale</t>
  </si>
  <si>
    <t>Z8E3B4CE80</t>
  </si>
  <si>
    <t>BG &amp; Partners, 06272481000</t>
  </si>
  <si>
    <t>Progetto DMO Tiberland docenza</t>
  </si>
  <si>
    <t>98/2023</t>
  </si>
  <si>
    <t>99/2023</t>
  </si>
  <si>
    <t>Progetto "Competenze per Orientare e formare al lavoro" Laboratorio Family day 2023 "Lo Youtuber"</t>
  </si>
  <si>
    <t>Z173B5B436</t>
  </si>
  <si>
    <t>HexGate srl, 01394730327</t>
  </si>
  <si>
    <t>100/2023</t>
  </si>
  <si>
    <t xml:space="preserve">Acquisto timbri uffici Forma Camera </t>
  </si>
  <si>
    <t>Ditta Biancone  Giannantonio di Gabriele Cipriani, 13063861002</t>
  </si>
  <si>
    <t>101/2023</t>
  </si>
  <si>
    <t>Progetto Potenziamento Servizi Porta Futuro Lazio - Seminario "Sviluppare l’imprenditorialità: sviluppare competenze e strategie manageriali"</t>
  </si>
  <si>
    <t>Leomanni Paolo, 08105171006</t>
  </si>
  <si>
    <t>102/2023</t>
  </si>
  <si>
    <t>Progetto Potenziamento Servizi Porta Futuro Lazio - Seminario "Progettazione di bandi locali, regionali ed europei"</t>
  </si>
  <si>
    <r>
      <t>D’Ambrosio Barbarisi</t>
    </r>
    <r>
      <rPr>
        <sz val="10"/>
        <color theme="1"/>
        <rFont val="Arial"/>
        <family val="2"/>
      </rPr>
      <t xml:space="preserve"> Giancarlo, DMBGCR68E22H501C</t>
    </r>
  </si>
  <si>
    <t>103/2023</t>
  </si>
  <si>
    <t>Progetto Potenziamento Servizi Porta Futuro Lazio - Seminario "Percorso per lo sviluppo delle competenze trasversali"</t>
  </si>
  <si>
    <t>104/2023</t>
  </si>
  <si>
    <t>Corso per il rilascio ed il rinnovo del certificato di abilitazione all’acquisto e all’utilizzo dei prodotti fitosanitari ai sensi del D.lgs 150/2012 - 01/2023</t>
  </si>
  <si>
    <t>Griscioli Massimo, 01081290577</t>
  </si>
  <si>
    <t>105/2023</t>
  </si>
  <si>
    <t xml:space="preserve">Albanesi elvezio, 1075471006 </t>
  </si>
  <si>
    <t>Totero Gianfranco, 06228521008</t>
  </si>
  <si>
    <t>106/2023</t>
  </si>
  <si>
    <t>107/2023</t>
  </si>
  <si>
    <t>Bellardini Mirna, BLLMRN89E69E958F</t>
  </si>
  <si>
    <t>108/2023</t>
  </si>
  <si>
    <t>109/2023</t>
  </si>
  <si>
    <t>Fratini Fiamma, 16558361000</t>
  </si>
  <si>
    <t>110/2023</t>
  </si>
  <si>
    <t>Progetto "Competenze per Orientare e formare al lavoro" L'Orafo</t>
  </si>
  <si>
    <t xml:space="preserve">Progetto "Competenze per Orientare e formare al lavoro" Il Fumettista </t>
  </si>
  <si>
    <t>111/2023</t>
  </si>
  <si>
    <t>Impresa Individuale Alexander Galiano, 08471251002</t>
  </si>
  <si>
    <r>
      <t>Progetto</t>
    </r>
    <r>
      <rPr>
        <sz val="7"/>
        <color theme="1"/>
        <rFont val="Times New Roman"/>
        <family val="1"/>
      </rPr>
      <t> </t>
    </r>
    <r>
      <rPr>
        <sz val="10"/>
        <color theme="1"/>
        <rFont val="Arial"/>
        <family val="2"/>
      </rPr>
      <t>“Transizione Green e sostenibilità” percorso “Criteri ESG e Bilancio di Sostenibilità”;</t>
    </r>
  </si>
  <si>
    <t>Microcool Italia srl, 11353771006</t>
  </si>
  <si>
    <t>Z763B729E2</t>
  </si>
  <si>
    <t>112/2023</t>
  </si>
  <si>
    <t>Progetto "Competenze per Orientare e formare al lavoro" Laboratorio Family day 2023 "L'Orafo"</t>
  </si>
  <si>
    <t>Progetto "Competenze per Orientare e formare al lavoro" Laboratorio Family day 2023 "Il Costumista: dal Progetto alla realizzazione di un modello"</t>
  </si>
  <si>
    <t>Di Giacomo Damiano, DGCDMN90H23H501P</t>
  </si>
  <si>
    <t>113/2023</t>
  </si>
  <si>
    <t>115/2023</t>
  </si>
  <si>
    <t>Progetto "Competenze per Orientare e formare al lavoro" Laboratorio Family day 2023 "Il Teatro in gioco: realizza il tuo burattino"</t>
  </si>
  <si>
    <t>Associazione Teatro Verde, 03680650581</t>
  </si>
  <si>
    <t>114/2023</t>
  </si>
  <si>
    <t>200.00</t>
  </si>
  <si>
    <t>1600.00</t>
  </si>
  <si>
    <t>960.00</t>
  </si>
  <si>
    <t>549.00</t>
  </si>
  <si>
    <t>11560.00</t>
  </si>
  <si>
    <t>671.00</t>
  </si>
  <si>
    <t>611.42</t>
  </si>
  <si>
    <t>3429.36</t>
  </si>
  <si>
    <t>516.20</t>
  </si>
  <si>
    <t>2049.36</t>
  </si>
  <si>
    <t>1000.00</t>
  </si>
  <si>
    <t>800.80</t>
  </si>
  <si>
    <t>730.00</t>
  </si>
  <si>
    <t>571.20</t>
  </si>
  <si>
    <t>778.32</t>
  </si>
  <si>
    <t>740.00</t>
  </si>
  <si>
    <t>202.00</t>
  </si>
  <si>
    <t>1150.00</t>
  </si>
  <si>
    <t>Z323A78EC6</t>
  </si>
  <si>
    <t>430.36</t>
  </si>
  <si>
    <t>2402.00</t>
  </si>
  <si>
    <t>2718.20</t>
  </si>
  <si>
    <t>800.00</t>
  </si>
  <si>
    <t>1440.00</t>
  </si>
  <si>
    <t>1202.00</t>
  </si>
  <si>
    <t>1130.00</t>
  </si>
  <si>
    <t>655.20</t>
  </si>
  <si>
    <t>2271.20</t>
  </si>
  <si>
    <t>6080.00</t>
  </si>
  <si>
    <t>39.47</t>
  </si>
  <si>
    <t>3054.32</t>
  </si>
  <si>
    <t>1760.00</t>
  </si>
  <si>
    <t>1024.00</t>
  </si>
  <si>
    <t>441.44</t>
  </si>
  <si>
    <t>Z293AC28D5</t>
  </si>
  <si>
    <t>855.00</t>
  </si>
  <si>
    <t>162.00</t>
  </si>
  <si>
    <t>640.00</t>
  </si>
  <si>
    <t>467.50</t>
  </si>
  <si>
    <t>8750.00</t>
  </si>
  <si>
    <t>1040.00</t>
  </si>
  <si>
    <t>1736.78</t>
  </si>
  <si>
    <t>1110.00</t>
  </si>
  <si>
    <t>1884.40</t>
  </si>
  <si>
    <t>584.40</t>
  </si>
  <si>
    <t>400.00</t>
  </si>
  <si>
    <t>355.00</t>
  </si>
  <si>
    <t>1310.40</t>
  </si>
  <si>
    <t>714.00</t>
  </si>
  <si>
    <t>24500.00</t>
  </si>
  <si>
    <t>1337.2</t>
  </si>
  <si>
    <t>6000.00</t>
  </si>
  <si>
    <t>2080.80</t>
  </si>
  <si>
    <t>2892.00</t>
  </si>
  <si>
    <t>1144.00</t>
  </si>
  <si>
    <t>678.71</t>
  </si>
  <si>
    <t>733.88</t>
  </si>
  <si>
    <t>ZBB3BB18CB</t>
  </si>
  <si>
    <t>Cyber bee, 14559061008</t>
  </si>
  <si>
    <t>Cancelleria progetto "General Management Skills"</t>
  </si>
  <si>
    <t>ERREBIAN SPA, 02044501001</t>
  </si>
  <si>
    <t>Z0A3B5F266</t>
  </si>
  <si>
    <t xml:space="preserve">Realizzazione pillole </t>
  </si>
  <si>
    <t>Z103BB1BBA</t>
  </si>
  <si>
    <t>Tionis, 15810571008</t>
  </si>
  <si>
    <t>116/2023</t>
  </si>
  <si>
    <t>23-AFFIDAMENTO DIRETTO</t>
  </si>
  <si>
    <t>1600,00</t>
  </si>
  <si>
    <t>Progetto "Formazione Digitale - Marketing e Social Media" percorso " Cultura e Comunicazione Digitale: strumenti a supporto delle Imprese"</t>
  </si>
  <si>
    <t>ZB23BB194F</t>
  </si>
  <si>
    <t>Progetto Garanzia Occupabilità Lavoratori - orientamento</t>
  </si>
  <si>
    <t>ZB03B3C136</t>
  </si>
  <si>
    <t>Move servizi professionali - spese trasferimento</t>
  </si>
  <si>
    <t>Z5B39EC9C4</t>
  </si>
  <si>
    <t>R1 S.p.A., 05231661009</t>
  </si>
  <si>
    <t>Disinstallazione e gestione materiale usato</t>
  </si>
  <si>
    <t>A.T.S. srl, 07492991000</t>
  </si>
  <si>
    <t>Menicocci Edoardo, 15129591002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</si>
</sst>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wrapText="1"/>
    </xf>
    <xf numFmtId="0" fontId="0" fillId="0" borderId="0" xfId="0" quotePrefix="1"/>
    <xf numFmtId="0" fontId="0" fillId="0" borderId="0" xfId="0" applyAlignment="1">
      <alignment wrapText="1"/>
    </xf>
    <xf numFmtId="164" fontId="18" fillId="0" borderId="0" xfId="0" applyNumberFormat="1" applyFont="1" applyAlignment="1">
      <alignment wrapText="1"/>
    </xf>
    <xf numFmtId="164" fontId="0" fillId="0" borderId="0" xfId="0" applyNumberFormat="1"/>
    <xf numFmtId="0" fontId="0" fillId="33" borderId="0" xfId="0" applyFill="1"/>
    <xf numFmtId="0" fontId="0" fillId="34" borderId="0" xfId="0" applyFill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quotePrefix="1" applyBorder="1"/>
    <xf numFmtId="164" fontId="0" fillId="0" borderId="10" xfId="0" applyNumberFormat="1" applyBorder="1"/>
    <xf numFmtId="49" fontId="0" fillId="0" borderId="10" xfId="0" applyNumberFormat="1" applyBorder="1"/>
    <xf numFmtId="0" fontId="0" fillId="33" borderId="10" xfId="0" applyFill="1" applyBorder="1" applyAlignment="1">
      <alignment wrapText="1"/>
    </xf>
    <xf numFmtId="0" fontId="0" fillId="33" borderId="10" xfId="0" applyFill="1" applyBorder="1"/>
    <xf numFmtId="49" fontId="0" fillId="33" borderId="10" xfId="0" applyNumberFormat="1" applyFill="1" applyBorder="1"/>
    <xf numFmtId="0" fontId="0" fillId="33" borderId="10" xfId="0" quotePrefix="1" applyFill="1" applyBorder="1"/>
    <xf numFmtId="164" fontId="0" fillId="33" borderId="10" xfId="0" applyNumberFormat="1" applyFill="1" applyBorder="1"/>
    <xf numFmtId="0" fontId="0" fillId="34" borderId="10" xfId="0" applyFill="1" applyBorder="1" applyAlignment="1">
      <alignment wrapText="1"/>
    </xf>
    <xf numFmtId="0" fontId="0" fillId="34" borderId="10" xfId="0" applyFill="1" applyBorder="1"/>
    <xf numFmtId="164" fontId="0" fillId="34" borderId="10" xfId="0" applyNumberFormat="1" applyFill="1" applyBorder="1"/>
    <xf numFmtId="49" fontId="0" fillId="34" borderId="10" xfId="0" applyNumberFormat="1" applyFill="1" applyBorder="1"/>
    <xf numFmtId="14" fontId="0" fillId="33" borderId="10" xfId="0" applyNumberFormat="1" applyFill="1" applyBorder="1"/>
    <xf numFmtId="14" fontId="0" fillId="0" borderId="10" xfId="0" applyNumberFormat="1" applyBorder="1"/>
    <xf numFmtId="0" fontId="0" fillId="34" borderId="10" xfId="0" quotePrefix="1" applyFill="1" applyBorder="1"/>
    <xf numFmtId="14" fontId="0" fillId="34" borderId="10" xfId="0" applyNumberFormat="1" applyFill="1" applyBorder="1"/>
    <xf numFmtId="14" fontId="0" fillId="0" borderId="0" xfId="0" applyNumberFormat="1"/>
    <xf numFmtId="0" fontId="14" fillId="34" borderId="10" xfId="0" applyFont="1" applyFill="1" applyBorder="1"/>
    <xf numFmtId="0" fontId="14" fillId="34" borderId="0" xfId="0" applyFont="1" applyFill="1"/>
    <xf numFmtId="0" fontId="0" fillId="0" borderId="10" xfId="0" applyBorder="1" applyAlignment="1"/>
    <xf numFmtId="49" fontId="21" fillId="34" borderId="10" xfId="0" applyNumberFormat="1" applyFont="1" applyFill="1" applyBorder="1"/>
    <xf numFmtId="0" fontId="21" fillId="33" borderId="10" xfId="0" applyFont="1" applyFill="1" applyBorder="1" applyAlignment="1">
      <alignment wrapText="1"/>
    </xf>
    <xf numFmtId="0" fontId="21" fillId="33" borderId="10" xfId="0" applyFont="1" applyFill="1" applyBorder="1"/>
    <xf numFmtId="0" fontId="21" fillId="0" borderId="10" xfId="0" applyFont="1" applyBorder="1"/>
    <xf numFmtId="164" fontId="21" fillId="33" borderId="10" xfId="0" applyNumberFormat="1" applyFont="1" applyFill="1" applyBorder="1"/>
    <xf numFmtId="49" fontId="21" fillId="33" borderId="10" xfId="0" applyNumberFormat="1" applyFont="1" applyFill="1" applyBorder="1"/>
    <xf numFmtId="0" fontId="21" fillId="33" borderId="0" xfId="0" applyFont="1" applyFill="1"/>
    <xf numFmtId="0" fontId="21" fillId="0" borderId="10" xfId="0" applyFont="1" applyBorder="1" applyAlignment="1">
      <alignment wrapText="1"/>
    </xf>
    <xf numFmtId="0" fontId="21" fillId="0" borderId="0" xfId="0" applyFont="1"/>
    <xf numFmtId="0" fontId="21" fillId="34" borderId="10" xfId="0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6F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6"/>
  <sheetViews>
    <sheetView tabSelected="1" workbookViewId="0">
      <pane ySplit="1" topLeftCell="A90" activePane="bottomLeft" state="frozen"/>
      <selection pane="bottomLeft" activeCell="E94" sqref="E94"/>
    </sheetView>
  </sheetViews>
  <sheetFormatPr defaultRowHeight="15" x14ac:dyDescent="0.25"/>
  <cols>
    <col min="1" max="1" width="26" style="3" customWidth="1"/>
    <col min="2" max="3" width="26" customWidth="1"/>
    <col min="4" max="4" width="26" style="3" customWidth="1"/>
    <col min="5" max="5" width="26" customWidth="1"/>
    <col min="6" max="7" width="26" style="3" customWidth="1"/>
    <col min="8" max="8" width="9.85546875" customWidth="1"/>
    <col min="9" max="9" width="11" customWidth="1"/>
    <col min="10" max="11" width="12.7109375" style="5" customWidth="1"/>
    <col min="12" max="12" width="11.85546875" customWidth="1"/>
    <col min="13" max="13" width="10.7109375" bestFit="1" customWidth="1"/>
  </cols>
  <sheetData>
    <row r="1" spans="1:14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1" t="s">
        <v>11</v>
      </c>
      <c r="M1" s="1" t="s">
        <v>12</v>
      </c>
      <c r="N1" s="1" t="s">
        <v>13</v>
      </c>
    </row>
    <row r="3" spans="1:14" ht="45" x14ac:dyDescent="0.25">
      <c r="A3" s="8" t="s">
        <v>14</v>
      </c>
      <c r="B3" s="9" t="s">
        <v>15</v>
      </c>
      <c r="C3" s="10" t="s">
        <v>16</v>
      </c>
      <c r="D3" s="8" t="str">
        <f>"23-AFFIDAMENTO DIRETTO"</f>
        <v>23-AFFIDAMENTO DIRETTO</v>
      </c>
      <c r="E3" s="9" t="s">
        <v>17</v>
      </c>
      <c r="F3" s="8" t="s">
        <v>18</v>
      </c>
      <c r="G3" s="8" t="s">
        <v>18</v>
      </c>
      <c r="H3" s="9" t="str">
        <f>"4400,00"</f>
        <v>4400,00</v>
      </c>
      <c r="I3" s="9">
        <v>2023</v>
      </c>
      <c r="J3" s="11">
        <v>44927</v>
      </c>
      <c r="K3" s="11">
        <v>45291</v>
      </c>
      <c r="L3" s="9" t="s">
        <v>301</v>
      </c>
      <c r="M3" s="23">
        <v>45077</v>
      </c>
      <c r="N3" s="9" t="s">
        <v>19</v>
      </c>
    </row>
    <row r="4" spans="1:14" ht="45" x14ac:dyDescent="0.25">
      <c r="A4" s="8" t="s">
        <v>20</v>
      </c>
      <c r="B4" s="9" t="s">
        <v>15</v>
      </c>
      <c r="C4" s="10" t="s">
        <v>16</v>
      </c>
      <c r="D4" s="8" t="str">
        <f>"04-PROCEDURA NEGOZIATA SENZA PREVIA PUBBLICAZIONE"</f>
        <v>04-PROCEDURA NEGOZIATA SENZA PREVIA PUBBLICAZIONE</v>
      </c>
      <c r="E4" s="10" t="s">
        <v>21</v>
      </c>
      <c r="F4" s="8" t="s">
        <v>22</v>
      </c>
      <c r="G4" s="8" t="s">
        <v>22</v>
      </c>
      <c r="H4" s="9" t="str">
        <f>"5600,00"</f>
        <v>5600,00</v>
      </c>
      <c r="I4" s="9">
        <v>2023</v>
      </c>
      <c r="J4" s="11">
        <v>44927</v>
      </c>
      <c r="K4" s="11">
        <v>45291</v>
      </c>
      <c r="L4" s="9"/>
      <c r="M4" s="9"/>
      <c r="N4" s="9" t="s">
        <v>23</v>
      </c>
    </row>
    <row r="5" spans="1:14" ht="45" x14ac:dyDescent="0.25">
      <c r="A5" s="8" t="s">
        <v>24</v>
      </c>
      <c r="B5" s="9" t="s">
        <v>15</v>
      </c>
      <c r="C5" s="10" t="s">
        <v>16</v>
      </c>
      <c r="D5" s="8" t="str">
        <f>"04-PROCEDURA NEGOZIATA SENZA PREVIA PUBBLICAZIONE"</f>
        <v>04-PROCEDURA NEGOZIATA SENZA PREVIA PUBBLICAZIONE</v>
      </c>
      <c r="E5" s="10" t="s">
        <v>21</v>
      </c>
      <c r="F5" s="8" t="s">
        <v>25</v>
      </c>
      <c r="G5" s="8" t="s">
        <v>25</v>
      </c>
      <c r="H5" s="9" t="str">
        <f>"6500,00"</f>
        <v>6500,00</v>
      </c>
      <c r="I5" s="9">
        <v>2023</v>
      </c>
      <c r="J5" s="11">
        <v>44927</v>
      </c>
      <c r="K5" s="11">
        <v>45291</v>
      </c>
      <c r="L5" s="9" t="s">
        <v>297</v>
      </c>
      <c r="M5" s="23">
        <v>45068</v>
      </c>
      <c r="N5" s="9" t="s">
        <v>26</v>
      </c>
    </row>
    <row r="6" spans="1:14" ht="30" x14ac:dyDescent="0.25">
      <c r="A6" s="8" t="str">
        <f>"assistenza e manutenzione sito internet"</f>
        <v>assistenza e manutenzione sito internet</v>
      </c>
      <c r="B6" s="9" t="s">
        <v>15</v>
      </c>
      <c r="C6" s="10" t="s">
        <v>16</v>
      </c>
      <c r="D6" s="8" t="str">
        <f>"23-AFFIDAMENTO DIRETTO"</f>
        <v>23-AFFIDAMENTO DIRETTO</v>
      </c>
      <c r="E6" s="10" t="str">
        <f>"ZDC3AA1D77"</f>
        <v>ZDC3AA1D77</v>
      </c>
      <c r="F6" s="8" t="str">
        <f>"MENEXA SRL, 14994471002"</f>
        <v>MENEXA SRL, 14994471002</v>
      </c>
      <c r="G6" s="8" t="str">
        <f>"MENEXA SRL, 14994471002"</f>
        <v>MENEXA SRL, 14994471002</v>
      </c>
      <c r="H6" s="9" t="str">
        <f>"1900,00"</f>
        <v>1900,00</v>
      </c>
      <c r="I6" s="9">
        <v>2023</v>
      </c>
      <c r="J6" s="11">
        <v>45057</v>
      </c>
      <c r="K6" s="11">
        <v>45291</v>
      </c>
      <c r="L6" s="9" t="str">
        <f>""</f>
        <v/>
      </c>
      <c r="M6" s="9"/>
      <c r="N6" s="9" t="s">
        <v>194</v>
      </c>
    </row>
    <row r="7" spans="1:14" ht="75" x14ac:dyDescent="0.25">
      <c r="A7" s="8" t="s">
        <v>27</v>
      </c>
      <c r="B7" s="9" t="s">
        <v>15</v>
      </c>
      <c r="C7" s="10" t="s">
        <v>16</v>
      </c>
      <c r="D7" s="8" t="str">
        <f>"04-PROCEDURA NEGOZIATA SENZA PREVIA PUBBLICAZIONE"</f>
        <v>04-PROCEDURA NEGOZIATA SENZA PREVIA PUBBLICAZIONE</v>
      </c>
      <c r="E7" s="10" t="s">
        <v>28</v>
      </c>
      <c r="F7" s="8" t="s">
        <v>29</v>
      </c>
      <c r="G7" s="8" t="s">
        <v>29</v>
      </c>
      <c r="H7" s="9" t="str">
        <f>"5000,00"</f>
        <v>5000,00</v>
      </c>
      <c r="I7" s="9">
        <v>2023</v>
      </c>
      <c r="J7" s="11">
        <v>44927</v>
      </c>
      <c r="K7" s="11">
        <v>45291</v>
      </c>
      <c r="L7" s="9"/>
      <c r="M7" s="9"/>
      <c r="N7" s="9" t="s">
        <v>30</v>
      </c>
    </row>
    <row r="8" spans="1:14" ht="45" x14ac:dyDescent="0.25">
      <c r="A8" s="8" t="s">
        <v>31</v>
      </c>
      <c r="B8" s="9" t="s">
        <v>15</v>
      </c>
      <c r="C8" s="10" t="s">
        <v>16</v>
      </c>
      <c r="D8" s="8" t="str">
        <f>"04-PROCEDURA NEGOZIATA SENZA PREVIA PUBBLICAZIONE"</f>
        <v>04-PROCEDURA NEGOZIATA SENZA PREVIA PUBBLICAZIONE</v>
      </c>
      <c r="E8" s="10" t="s">
        <v>32</v>
      </c>
      <c r="F8" s="8" t="s">
        <v>33</v>
      </c>
      <c r="G8" s="8" t="s">
        <v>33</v>
      </c>
      <c r="H8" s="9" t="str">
        <f>"1130,00"</f>
        <v>1130,00</v>
      </c>
      <c r="I8" s="9">
        <v>2023</v>
      </c>
      <c r="J8" s="11">
        <v>44927</v>
      </c>
      <c r="K8" s="11">
        <v>45291</v>
      </c>
      <c r="L8" s="9" t="s">
        <v>295</v>
      </c>
      <c r="M8" s="23">
        <v>45056</v>
      </c>
      <c r="N8" s="9" t="s">
        <v>34</v>
      </c>
    </row>
    <row r="9" spans="1:14" ht="30" x14ac:dyDescent="0.25">
      <c r="A9" s="8" t="s">
        <v>35</v>
      </c>
      <c r="B9" s="9" t="s">
        <v>15</v>
      </c>
      <c r="C9" s="10" t="s">
        <v>16</v>
      </c>
      <c r="D9" s="8" t="str">
        <f>"23-AFFIDAMENTO DIRETTO"</f>
        <v>23-AFFIDAMENTO DIRETTO</v>
      </c>
      <c r="E9" s="10" t="s">
        <v>36</v>
      </c>
      <c r="F9" s="8" t="s">
        <v>37</v>
      </c>
      <c r="G9" s="8" t="s">
        <v>37</v>
      </c>
      <c r="H9" s="9" t="str">
        <f>"3429,36"</f>
        <v>3429,36</v>
      </c>
      <c r="I9" s="9">
        <v>2023</v>
      </c>
      <c r="J9" s="11">
        <v>44927</v>
      </c>
      <c r="K9" s="11">
        <v>45291</v>
      </c>
      <c r="L9" s="9" t="s">
        <v>277</v>
      </c>
      <c r="M9" s="23">
        <v>45014</v>
      </c>
      <c r="N9" s="9" t="s">
        <v>38</v>
      </c>
    </row>
    <row r="10" spans="1:14" ht="45" x14ac:dyDescent="0.25">
      <c r="A10" s="8" t="s">
        <v>39</v>
      </c>
      <c r="B10" s="9" t="s">
        <v>15</v>
      </c>
      <c r="C10" s="10" t="s">
        <v>16</v>
      </c>
      <c r="D10" s="8" t="str">
        <f>"04-PROCEDURA NEGOZIATA SENZA PREVIA PUBBLICAZIONE"</f>
        <v>04-PROCEDURA NEGOZIATA SENZA PREVIA PUBBLICAZIONE</v>
      </c>
      <c r="E10" s="10" t="s">
        <v>21</v>
      </c>
      <c r="F10" s="8" t="s">
        <v>268</v>
      </c>
      <c r="G10" s="8" t="s">
        <v>268</v>
      </c>
      <c r="H10" s="9" t="str">
        <f>"8750,00"</f>
        <v>8750,00</v>
      </c>
      <c r="I10" s="9">
        <v>2023</v>
      </c>
      <c r="J10" s="11">
        <v>44956</v>
      </c>
      <c r="K10" s="11">
        <v>45002</v>
      </c>
      <c r="L10" s="9" t="s">
        <v>309</v>
      </c>
      <c r="M10" s="23">
        <v>45077</v>
      </c>
      <c r="N10" s="12" t="s">
        <v>40</v>
      </c>
    </row>
    <row r="11" spans="1:14" ht="75" x14ac:dyDescent="0.25">
      <c r="A11" s="8" t="s">
        <v>41</v>
      </c>
      <c r="B11" s="9" t="s">
        <v>15</v>
      </c>
      <c r="C11" s="10" t="s">
        <v>16</v>
      </c>
      <c r="D11" s="8" t="str">
        <f t="shared" ref="D11:D19" si="0">"23-AFFIDAMENTO DIRETTO"</f>
        <v>23-AFFIDAMENTO DIRETTO</v>
      </c>
      <c r="E11" s="10" t="s">
        <v>21</v>
      </c>
      <c r="F11" s="8" t="s">
        <v>42</v>
      </c>
      <c r="G11" s="8" t="s">
        <v>42</v>
      </c>
      <c r="H11" s="9" t="str">
        <f>"6800,00"</f>
        <v>6800,00</v>
      </c>
      <c r="I11" s="9">
        <v>2023</v>
      </c>
      <c r="J11" s="11">
        <v>44944</v>
      </c>
      <c r="K11" s="11">
        <v>45107</v>
      </c>
      <c r="L11" s="9" t="s">
        <v>294</v>
      </c>
      <c r="M11" s="23">
        <v>45056</v>
      </c>
      <c r="N11" s="12" t="s">
        <v>43</v>
      </c>
    </row>
    <row r="12" spans="1:14" ht="75" x14ac:dyDescent="0.25">
      <c r="A12" s="8" t="s">
        <v>41</v>
      </c>
      <c r="B12" s="9" t="s">
        <v>15</v>
      </c>
      <c r="C12" s="10" t="s">
        <v>16</v>
      </c>
      <c r="D12" s="8" t="str">
        <f t="shared" si="0"/>
        <v>23-AFFIDAMENTO DIRETTO</v>
      </c>
      <c r="E12" s="10" t="s">
        <v>21</v>
      </c>
      <c r="F12" s="8" t="s">
        <v>44</v>
      </c>
      <c r="G12" s="8" t="s">
        <v>44</v>
      </c>
      <c r="H12" s="9" t="str">
        <f>"6800,00"</f>
        <v>6800,00</v>
      </c>
      <c r="I12" s="9">
        <v>2023</v>
      </c>
      <c r="J12" s="11">
        <v>44944</v>
      </c>
      <c r="K12" s="11">
        <v>45107</v>
      </c>
      <c r="L12" s="9" t="s">
        <v>291</v>
      </c>
      <c r="M12" s="23">
        <v>45020</v>
      </c>
      <c r="N12" s="12" t="s">
        <v>45</v>
      </c>
    </row>
    <row r="13" spans="1:14" ht="75" x14ac:dyDescent="0.25">
      <c r="A13" s="8" t="s">
        <v>41</v>
      </c>
      <c r="B13" s="9" t="s">
        <v>15</v>
      </c>
      <c r="C13" s="10" t="s">
        <v>16</v>
      </c>
      <c r="D13" s="8" t="str">
        <f t="shared" si="0"/>
        <v>23-AFFIDAMENTO DIRETTO</v>
      </c>
      <c r="E13" s="10" t="s">
        <v>21</v>
      </c>
      <c r="F13" s="8" t="s">
        <v>46</v>
      </c>
      <c r="G13" s="8" t="s">
        <v>46</v>
      </c>
      <c r="H13" s="9" t="str">
        <f>"6800,00"</f>
        <v>6800,00</v>
      </c>
      <c r="I13" s="9">
        <v>2023</v>
      </c>
      <c r="J13" s="11">
        <v>44944</v>
      </c>
      <c r="K13" s="11">
        <v>45107</v>
      </c>
      <c r="L13" s="9" t="s">
        <v>290</v>
      </c>
      <c r="M13" s="23">
        <v>45020</v>
      </c>
      <c r="N13" s="12" t="s">
        <v>47</v>
      </c>
    </row>
    <row r="14" spans="1:14" ht="75" x14ac:dyDescent="0.25">
      <c r="A14" s="8" t="s">
        <v>48</v>
      </c>
      <c r="B14" s="9" t="s">
        <v>15</v>
      </c>
      <c r="C14" s="10" t="s">
        <v>16</v>
      </c>
      <c r="D14" s="8" t="str">
        <f t="shared" si="0"/>
        <v>23-AFFIDAMENTO DIRETTO</v>
      </c>
      <c r="E14" s="10" t="s">
        <v>21</v>
      </c>
      <c r="F14" s="8" t="s">
        <v>257</v>
      </c>
      <c r="G14" s="8" t="s">
        <v>257</v>
      </c>
      <c r="H14" s="9" t="str">
        <f>"2560,00"</f>
        <v>2560,00</v>
      </c>
      <c r="I14" s="9">
        <v>2023</v>
      </c>
      <c r="J14" s="11">
        <v>44937</v>
      </c>
      <c r="K14" s="11">
        <v>45107</v>
      </c>
      <c r="L14" s="9" t="s">
        <v>311</v>
      </c>
      <c r="M14" s="23">
        <v>45090</v>
      </c>
      <c r="N14" s="12" t="s">
        <v>49</v>
      </c>
    </row>
    <row r="15" spans="1:14" ht="75" x14ac:dyDescent="0.25">
      <c r="A15" s="8" t="s">
        <v>50</v>
      </c>
      <c r="B15" s="9" t="s">
        <v>15</v>
      </c>
      <c r="C15" s="10" t="s">
        <v>16</v>
      </c>
      <c r="D15" s="8" t="str">
        <f t="shared" si="0"/>
        <v>23-AFFIDAMENTO DIRETTO</v>
      </c>
      <c r="E15" s="10" t="s">
        <v>21</v>
      </c>
      <c r="F15" s="8" t="s">
        <v>51</v>
      </c>
      <c r="G15" s="8" t="s">
        <v>51</v>
      </c>
      <c r="H15" s="9" t="str">
        <f>"2560,00"</f>
        <v>2560,00</v>
      </c>
      <c r="I15" s="9">
        <v>2023</v>
      </c>
      <c r="J15" s="11">
        <v>44945</v>
      </c>
      <c r="K15" s="11">
        <v>45107</v>
      </c>
      <c r="L15" s="9" t="s">
        <v>320</v>
      </c>
      <c r="M15" s="23">
        <v>45090</v>
      </c>
      <c r="N15" s="12" t="s">
        <v>52</v>
      </c>
    </row>
    <row r="16" spans="1:14" ht="60" x14ac:dyDescent="0.25">
      <c r="A16" s="8" t="s">
        <v>53</v>
      </c>
      <c r="B16" s="9" t="s">
        <v>15</v>
      </c>
      <c r="C16" s="10" t="s">
        <v>16</v>
      </c>
      <c r="D16" s="8" t="str">
        <f t="shared" si="0"/>
        <v>23-AFFIDAMENTO DIRETTO</v>
      </c>
      <c r="E16" s="10" t="s">
        <v>21</v>
      </c>
      <c r="F16" s="8" t="s">
        <v>252</v>
      </c>
      <c r="G16" s="8" t="s">
        <v>252</v>
      </c>
      <c r="H16" s="9" t="str">
        <f>"2560,00"</f>
        <v>2560,00</v>
      </c>
      <c r="I16" s="9">
        <v>2023</v>
      </c>
      <c r="J16" s="11">
        <v>44937</v>
      </c>
      <c r="K16" s="11">
        <v>45107</v>
      </c>
      <c r="L16" s="9" t="s">
        <v>271</v>
      </c>
      <c r="M16" s="23">
        <v>45056</v>
      </c>
      <c r="N16" s="12" t="s">
        <v>54</v>
      </c>
    </row>
    <row r="17" spans="1:14" ht="60" x14ac:dyDescent="0.25">
      <c r="A17" s="8" t="s">
        <v>55</v>
      </c>
      <c r="B17" s="9" t="s">
        <v>15</v>
      </c>
      <c r="C17" s="10" t="s">
        <v>16</v>
      </c>
      <c r="D17" s="8" t="str">
        <f t="shared" si="0"/>
        <v>23-AFFIDAMENTO DIRETTO</v>
      </c>
      <c r="E17" s="10" t="s">
        <v>21</v>
      </c>
      <c r="F17" s="8" t="s">
        <v>56</v>
      </c>
      <c r="G17" s="8" t="s">
        <v>56</v>
      </c>
      <c r="H17" s="9" t="str">
        <f>"2560,00"</f>
        <v>2560,00</v>
      </c>
      <c r="I17" s="9">
        <v>2023</v>
      </c>
      <c r="J17" s="11">
        <v>44944</v>
      </c>
      <c r="K17" s="11">
        <v>45107</v>
      </c>
      <c r="L17" s="9" t="s">
        <v>302</v>
      </c>
      <c r="M17" s="23">
        <v>45077</v>
      </c>
      <c r="N17" s="12" t="s">
        <v>57</v>
      </c>
    </row>
    <row r="18" spans="1:14" ht="30" x14ac:dyDescent="0.25">
      <c r="A18" s="8" t="s">
        <v>58</v>
      </c>
      <c r="B18" s="9" t="s">
        <v>15</v>
      </c>
      <c r="C18" s="10" t="s">
        <v>16</v>
      </c>
      <c r="D18" s="8" t="str">
        <f t="shared" si="0"/>
        <v>23-AFFIDAMENTO DIRETTO</v>
      </c>
      <c r="E18" s="10" t="s">
        <v>21</v>
      </c>
      <c r="F18" s="8" t="s">
        <v>162</v>
      </c>
      <c r="G18" s="8" t="s">
        <v>160</v>
      </c>
      <c r="H18" s="9" t="str">
        <f>"2400,00"</f>
        <v>2400,00</v>
      </c>
      <c r="I18" s="9">
        <v>2023</v>
      </c>
      <c r="J18" s="11">
        <v>44939</v>
      </c>
      <c r="K18" s="11">
        <v>45107</v>
      </c>
      <c r="L18" s="9" t="s">
        <v>310</v>
      </c>
      <c r="M18" s="23">
        <v>45085</v>
      </c>
      <c r="N18" s="12" t="s">
        <v>59</v>
      </c>
    </row>
    <row r="19" spans="1:14" ht="30" x14ac:dyDescent="0.25">
      <c r="A19" s="8" t="s">
        <v>60</v>
      </c>
      <c r="B19" s="9" t="s">
        <v>15</v>
      </c>
      <c r="C19" s="10" t="s">
        <v>16</v>
      </c>
      <c r="D19" s="8" t="str">
        <f t="shared" si="0"/>
        <v>23-AFFIDAMENTO DIRETTO</v>
      </c>
      <c r="E19" s="10" t="s">
        <v>61</v>
      </c>
      <c r="F19" s="8" t="s">
        <v>62</v>
      </c>
      <c r="G19" s="8" t="s">
        <v>62</v>
      </c>
      <c r="H19" s="9" t="str">
        <f>"600,00"</f>
        <v>600,00</v>
      </c>
      <c r="I19" s="9">
        <v>2023</v>
      </c>
      <c r="J19" s="11">
        <v>44978</v>
      </c>
      <c r="K19" s="11">
        <v>44986</v>
      </c>
      <c r="L19" s="9" t="s">
        <v>286</v>
      </c>
      <c r="M19" s="23">
        <v>45042</v>
      </c>
      <c r="N19" s="12" t="s">
        <v>63</v>
      </c>
    </row>
    <row r="20" spans="1:14" s="6" customFormat="1" ht="45" x14ac:dyDescent="0.25">
      <c r="A20" s="13" t="s">
        <v>64</v>
      </c>
      <c r="B20" s="9" t="s">
        <v>15</v>
      </c>
      <c r="C20" s="10" t="s">
        <v>16</v>
      </c>
      <c r="D20" s="8" t="str">
        <f>"04-PROCEDURA NEGOZIATA SENZA PREVIA PUBBLICAZIONE"</f>
        <v>04-PROCEDURA NEGOZIATA SENZA PREVIA PUBBLICAZIONE</v>
      </c>
      <c r="E20" s="10" t="s">
        <v>65</v>
      </c>
      <c r="F20" s="13" t="s">
        <v>66</v>
      </c>
      <c r="G20" s="13" t="s">
        <v>66</v>
      </c>
      <c r="H20" s="9" t="str">
        <f>"6080,00"</f>
        <v>6080,00</v>
      </c>
      <c r="I20" s="9">
        <v>2023</v>
      </c>
      <c r="J20" s="11">
        <v>44959</v>
      </c>
      <c r="K20" s="11">
        <v>45046</v>
      </c>
      <c r="L20" s="14" t="s">
        <v>298</v>
      </c>
      <c r="M20" s="22">
        <v>45068</v>
      </c>
      <c r="N20" s="15" t="s">
        <v>67</v>
      </c>
    </row>
    <row r="21" spans="1:14" ht="30" x14ac:dyDescent="0.25">
      <c r="A21" s="8" t="s">
        <v>68</v>
      </c>
      <c r="B21" s="9" t="s">
        <v>15</v>
      </c>
      <c r="C21" s="10" t="s">
        <v>16</v>
      </c>
      <c r="D21" s="8" t="str">
        <f t="shared" ref="D21:D39" si="1">"23-AFFIDAMENTO DIRETTO"</f>
        <v>23-AFFIDAMENTO DIRETTO</v>
      </c>
      <c r="E21" s="10" t="s">
        <v>21</v>
      </c>
      <c r="F21" s="8" t="s">
        <v>161</v>
      </c>
      <c r="G21" s="8" t="s">
        <v>161</v>
      </c>
      <c r="H21" s="9" t="str">
        <f>"1750,00"</f>
        <v>1750,00</v>
      </c>
      <c r="I21" s="9">
        <v>2023</v>
      </c>
      <c r="J21" s="11">
        <v>44944</v>
      </c>
      <c r="K21" s="11">
        <v>45107</v>
      </c>
      <c r="L21" s="9" t="s">
        <v>280</v>
      </c>
      <c r="M21" s="23">
        <v>45085</v>
      </c>
      <c r="N21" s="12" t="s">
        <v>69</v>
      </c>
    </row>
    <row r="22" spans="1:14" ht="30" x14ac:dyDescent="0.25">
      <c r="A22" s="8" t="s">
        <v>70</v>
      </c>
      <c r="B22" s="9" t="s">
        <v>15</v>
      </c>
      <c r="C22" s="10" t="s">
        <v>16</v>
      </c>
      <c r="D22" s="8" t="str">
        <f t="shared" si="1"/>
        <v>23-AFFIDAMENTO DIRETTO</v>
      </c>
      <c r="E22" s="10" t="s">
        <v>21</v>
      </c>
      <c r="F22" s="8" t="s">
        <v>44</v>
      </c>
      <c r="G22" s="8" t="s">
        <v>44</v>
      </c>
      <c r="H22" s="9" t="str">
        <f>"944,00"</f>
        <v>944,00</v>
      </c>
      <c r="I22" s="9">
        <v>2023</v>
      </c>
      <c r="J22" s="11">
        <v>44953</v>
      </c>
      <c r="K22" s="11">
        <v>44971</v>
      </c>
      <c r="L22" s="9"/>
      <c r="M22" s="9"/>
      <c r="N22" s="12" t="s">
        <v>71</v>
      </c>
    </row>
    <row r="23" spans="1:14" ht="30" x14ac:dyDescent="0.25">
      <c r="A23" s="8" t="s">
        <v>70</v>
      </c>
      <c r="B23" s="9" t="s">
        <v>15</v>
      </c>
      <c r="C23" s="10" t="s">
        <v>16</v>
      </c>
      <c r="D23" s="8" t="str">
        <f t="shared" si="1"/>
        <v>23-AFFIDAMENTO DIRETTO</v>
      </c>
      <c r="E23" s="10" t="s">
        <v>21</v>
      </c>
      <c r="F23" s="8" t="s">
        <v>46</v>
      </c>
      <c r="G23" s="8" t="s">
        <v>46</v>
      </c>
      <c r="H23" s="9" t="str">
        <f>"944,00"</f>
        <v>944,00</v>
      </c>
      <c r="I23" s="9">
        <v>2023</v>
      </c>
      <c r="J23" s="11">
        <v>44953</v>
      </c>
      <c r="K23" s="11">
        <v>44971</v>
      </c>
      <c r="L23" s="9" t="s">
        <v>278</v>
      </c>
      <c r="M23" s="23">
        <v>45020</v>
      </c>
      <c r="N23" s="12" t="s">
        <v>72</v>
      </c>
    </row>
    <row r="24" spans="1:14" s="6" customFormat="1" ht="30" x14ac:dyDescent="0.25">
      <c r="A24" s="8" t="s">
        <v>73</v>
      </c>
      <c r="B24" s="9" t="s">
        <v>15</v>
      </c>
      <c r="C24" s="10" t="s">
        <v>16</v>
      </c>
      <c r="D24" s="8" t="str">
        <f t="shared" si="1"/>
        <v>23-AFFIDAMENTO DIRETTO</v>
      </c>
      <c r="E24" s="10" t="s">
        <v>163</v>
      </c>
      <c r="F24" s="8" t="s">
        <v>164</v>
      </c>
      <c r="G24" s="8" t="s">
        <v>164</v>
      </c>
      <c r="H24" s="9" t="str">
        <f>"2175,00"</f>
        <v>2175,00</v>
      </c>
      <c r="I24" s="9">
        <v>2023</v>
      </c>
      <c r="J24" s="11">
        <v>44927</v>
      </c>
      <c r="K24" s="11">
        <v>45291</v>
      </c>
      <c r="L24" s="9" t="s">
        <v>284</v>
      </c>
      <c r="M24" s="23">
        <v>45042</v>
      </c>
      <c r="N24" s="12" t="s">
        <v>74</v>
      </c>
    </row>
    <row r="25" spans="1:14" ht="30" x14ac:dyDescent="0.25">
      <c r="A25" s="8" t="s">
        <v>75</v>
      </c>
      <c r="B25" s="9" t="s">
        <v>15</v>
      </c>
      <c r="C25" s="10" t="s">
        <v>16</v>
      </c>
      <c r="D25" s="8" t="str">
        <f t="shared" si="1"/>
        <v>23-AFFIDAMENTO DIRETTO</v>
      </c>
      <c r="E25" s="10" t="s">
        <v>21</v>
      </c>
      <c r="F25" s="8" t="str">
        <f>"POETA ANTONELLO, PTONNL63P01F446B"</f>
        <v>POETA ANTONELLO, PTONNL63P01F446B</v>
      </c>
      <c r="G25" s="8" t="str">
        <f>"POETA ANTONELLO, PTONNL63P01F446B"</f>
        <v>POETA ANTONELLO, PTONNL63P01F446B</v>
      </c>
      <c r="H25" s="9" t="str">
        <f>"1200,00"</f>
        <v>1200,00</v>
      </c>
      <c r="I25" s="9">
        <v>2023</v>
      </c>
      <c r="J25" s="11">
        <v>44949</v>
      </c>
      <c r="K25" s="11">
        <v>45107</v>
      </c>
      <c r="L25" s="9" t="str">
        <f>""</f>
        <v/>
      </c>
      <c r="M25" s="9"/>
      <c r="N25" s="9" t="s">
        <v>76</v>
      </c>
    </row>
    <row r="26" spans="1:14" s="6" customFormat="1" ht="60" x14ac:dyDescent="0.25">
      <c r="A26" s="13" t="s">
        <v>77</v>
      </c>
      <c r="B26" s="14" t="s">
        <v>15</v>
      </c>
      <c r="C26" s="16" t="s">
        <v>16</v>
      </c>
      <c r="D26" s="13" t="str">
        <f t="shared" si="1"/>
        <v>23-AFFIDAMENTO DIRETTO</v>
      </c>
      <c r="E26" s="14" t="s">
        <v>78</v>
      </c>
      <c r="F26" s="13" t="s">
        <v>168</v>
      </c>
      <c r="G26" s="13" t="s">
        <v>79</v>
      </c>
      <c r="H26" s="9" t="str">
        <f>"2049,36"</f>
        <v>2049,36</v>
      </c>
      <c r="I26" s="14">
        <v>2023</v>
      </c>
      <c r="J26" s="11">
        <v>44956</v>
      </c>
      <c r="K26" s="11">
        <v>45007</v>
      </c>
      <c r="L26" s="14" t="s">
        <v>279</v>
      </c>
      <c r="M26" s="22">
        <v>45042</v>
      </c>
      <c r="N26" s="15" t="s">
        <v>80</v>
      </c>
    </row>
    <row r="27" spans="1:14" s="6" customFormat="1" ht="45" x14ac:dyDescent="0.25">
      <c r="A27" s="13" t="s">
        <v>81</v>
      </c>
      <c r="B27" s="14" t="s">
        <v>15</v>
      </c>
      <c r="C27" s="16" t="s">
        <v>16</v>
      </c>
      <c r="D27" s="13" t="str">
        <f t="shared" si="1"/>
        <v>23-AFFIDAMENTO DIRETTO</v>
      </c>
      <c r="E27" s="14" t="s">
        <v>21</v>
      </c>
      <c r="F27" s="13" t="s">
        <v>82</v>
      </c>
      <c r="G27" s="13" t="s">
        <v>82</v>
      </c>
      <c r="H27" s="9" t="str">
        <f>"800,80"</f>
        <v>800,80</v>
      </c>
      <c r="I27" s="14">
        <v>2023</v>
      </c>
      <c r="J27" s="11">
        <v>44956</v>
      </c>
      <c r="K27" s="11">
        <v>45007</v>
      </c>
      <c r="L27" s="14" t="s">
        <v>281</v>
      </c>
      <c r="M27" s="22">
        <v>45042</v>
      </c>
      <c r="N27" s="15" t="s">
        <v>83</v>
      </c>
    </row>
    <row r="28" spans="1:14" s="6" customFormat="1" ht="45" x14ac:dyDescent="0.25">
      <c r="A28" s="13" t="s">
        <v>84</v>
      </c>
      <c r="B28" s="14" t="s">
        <v>15</v>
      </c>
      <c r="C28" s="16" t="s">
        <v>16</v>
      </c>
      <c r="D28" s="13" t="str">
        <f t="shared" si="1"/>
        <v>23-AFFIDAMENTO DIRETTO</v>
      </c>
      <c r="E28" s="14" t="s">
        <v>21</v>
      </c>
      <c r="F28" s="13" t="s">
        <v>85</v>
      </c>
      <c r="G28" s="13" t="s">
        <v>85</v>
      </c>
      <c r="H28" s="9" t="str">
        <f>"730,00"</f>
        <v>730,00</v>
      </c>
      <c r="I28" s="14">
        <v>2023</v>
      </c>
      <c r="J28" s="11">
        <v>44956</v>
      </c>
      <c r="K28" s="11">
        <v>45007</v>
      </c>
      <c r="L28" s="14" t="s">
        <v>282</v>
      </c>
      <c r="M28" s="22">
        <v>45042</v>
      </c>
      <c r="N28" s="15" t="s">
        <v>86</v>
      </c>
    </row>
    <row r="29" spans="1:14" s="6" customFormat="1" ht="30" x14ac:dyDescent="0.25">
      <c r="A29" s="13" t="s">
        <v>87</v>
      </c>
      <c r="B29" s="14" t="s">
        <v>15</v>
      </c>
      <c r="C29" s="16" t="s">
        <v>16</v>
      </c>
      <c r="D29" s="13" t="str">
        <f t="shared" si="1"/>
        <v>23-AFFIDAMENTO DIRETTO</v>
      </c>
      <c r="E29" s="14" t="s">
        <v>21</v>
      </c>
      <c r="F29" s="13" t="s">
        <v>213</v>
      </c>
      <c r="G29" s="13" t="s">
        <v>213</v>
      </c>
      <c r="H29" s="9" t="str">
        <f>"1260,00"</f>
        <v>1260,00</v>
      </c>
      <c r="I29" s="14">
        <v>2023</v>
      </c>
      <c r="J29" s="11">
        <v>44956</v>
      </c>
      <c r="K29" s="11">
        <v>45007</v>
      </c>
      <c r="L29" s="14"/>
      <c r="M29" s="14"/>
      <c r="N29" s="15" t="s">
        <v>88</v>
      </c>
    </row>
    <row r="30" spans="1:14" s="6" customFormat="1" ht="45" x14ac:dyDescent="0.25">
      <c r="A30" s="13" t="s">
        <v>89</v>
      </c>
      <c r="B30" s="14" t="s">
        <v>15</v>
      </c>
      <c r="C30" s="16" t="s">
        <v>16</v>
      </c>
      <c r="D30" s="13" t="str">
        <f t="shared" si="1"/>
        <v>23-AFFIDAMENTO DIRETTO</v>
      </c>
      <c r="E30" s="14" t="s">
        <v>21</v>
      </c>
      <c r="F30" s="13" t="s">
        <v>90</v>
      </c>
      <c r="G30" s="13" t="s">
        <v>90</v>
      </c>
      <c r="H30" s="9" t="str">
        <f>"571,20"</f>
        <v>571,20</v>
      </c>
      <c r="I30" s="14">
        <v>2023</v>
      </c>
      <c r="J30" s="11">
        <v>44956</v>
      </c>
      <c r="K30" s="11">
        <v>45007</v>
      </c>
      <c r="L30" s="14" t="s">
        <v>283</v>
      </c>
      <c r="M30" s="22">
        <v>45042</v>
      </c>
      <c r="N30" s="15" t="s">
        <v>91</v>
      </c>
    </row>
    <row r="31" spans="1:14" s="6" customFormat="1" ht="30" x14ac:dyDescent="0.25">
      <c r="A31" s="13" t="s">
        <v>92</v>
      </c>
      <c r="B31" s="14" t="s">
        <v>15</v>
      </c>
      <c r="C31" s="10" t="s">
        <v>16</v>
      </c>
      <c r="D31" s="8" t="str">
        <f t="shared" si="1"/>
        <v>23-AFFIDAMENTO DIRETTO</v>
      </c>
      <c r="E31" s="9" t="str">
        <f t="shared" ref="E31:E36" si="2">"0000000000"</f>
        <v>0000000000</v>
      </c>
      <c r="F31" s="13" t="s">
        <v>93</v>
      </c>
      <c r="G31" s="13" t="s">
        <v>93</v>
      </c>
      <c r="H31" s="9" t="str">
        <f>"1000,00"</f>
        <v>1000,00</v>
      </c>
      <c r="I31" s="14">
        <v>2023</v>
      </c>
      <c r="J31" s="11">
        <v>44967</v>
      </c>
      <c r="K31" s="11">
        <v>45016</v>
      </c>
      <c r="L31" s="14" t="s">
        <v>292</v>
      </c>
      <c r="M31" s="22">
        <v>45020</v>
      </c>
      <c r="N31" s="15" t="s">
        <v>94</v>
      </c>
    </row>
    <row r="32" spans="1:14" s="6" customFormat="1" ht="30" x14ac:dyDescent="0.25">
      <c r="A32" s="13" t="s">
        <v>95</v>
      </c>
      <c r="B32" s="14" t="s">
        <v>15</v>
      </c>
      <c r="C32" s="16" t="s">
        <v>16</v>
      </c>
      <c r="D32" s="13" t="str">
        <f t="shared" si="1"/>
        <v>23-AFFIDAMENTO DIRETTO</v>
      </c>
      <c r="E32" s="14" t="str">
        <f t="shared" si="2"/>
        <v>0000000000</v>
      </c>
      <c r="F32" s="13" t="s">
        <v>96</v>
      </c>
      <c r="G32" s="13" t="s">
        <v>96</v>
      </c>
      <c r="H32" s="9" t="str">
        <f>"200,00"</f>
        <v>200,00</v>
      </c>
      <c r="I32" s="14">
        <v>2023</v>
      </c>
      <c r="J32" s="11">
        <v>44978</v>
      </c>
      <c r="K32" s="11">
        <v>44995</v>
      </c>
      <c r="L32" s="14" t="s">
        <v>270</v>
      </c>
      <c r="M32" s="22">
        <v>45014</v>
      </c>
      <c r="N32" s="15" t="s">
        <v>97</v>
      </c>
    </row>
    <row r="33" spans="1:14" s="6" customFormat="1" ht="30" x14ac:dyDescent="0.25">
      <c r="A33" s="13" t="s">
        <v>95</v>
      </c>
      <c r="B33" s="14" t="s">
        <v>15</v>
      </c>
      <c r="C33" s="16" t="s">
        <v>16</v>
      </c>
      <c r="D33" s="13" t="str">
        <f t="shared" si="1"/>
        <v>23-AFFIDAMENTO DIRETTO</v>
      </c>
      <c r="E33" s="14" t="str">
        <f t="shared" si="2"/>
        <v>0000000000</v>
      </c>
      <c r="F33" s="13" t="s">
        <v>98</v>
      </c>
      <c r="G33" s="13" t="s">
        <v>98</v>
      </c>
      <c r="H33" s="14" t="str">
        <f>"200,00"</f>
        <v>200,00</v>
      </c>
      <c r="I33" s="14">
        <v>2023</v>
      </c>
      <c r="J33" s="17">
        <v>44992</v>
      </c>
      <c r="K33" s="17">
        <v>45016</v>
      </c>
      <c r="L33" s="14" t="s">
        <v>270</v>
      </c>
      <c r="M33" s="22">
        <v>45014</v>
      </c>
      <c r="N33" s="15" t="s">
        <v>99</v>
      </c>
    </row>
    <row r="34" spans="1:14" s="7" customFormat="1" ht="75" x14ac:dyDescent="0.25">
      <c r="A34" s="18" t="s">
        <v>100</v>
      </c>
      <c r="B34" s="19" t="s">
        <v>15</v>
      </c>
      <c r="C34" s="19" t="s">
        <v>16</v>
      </c>
      <c r="D34" s="18" t="str">
        <f t="shared" si="1"/>
        <v>23-AFFIDAMENTO DIRETTO</v>
      </c>
      <c r="E34" s="19" t="str">
        <f t="shared" si="2"/>
        <v>0000000000</v>
      </c>
      <c r="F34" s="19" t="s">
        <v>44</v>
      </c>
      <c r="G34" s="18" t="s">
        <v>44</v>
      </c>
      <c r="H34" s="19" t="str">
        <f>"1600,00"</f>
        <v>1600,00</v>
      </c>
      <c r="I34" s="19">
        <v>2023</v>
      </c>
      <c r="J34" s="20">
        <v>44952</v>
      </c>
      <c r="K34" s="20">
        <v>45046</v>
      </c>
      <c r="L34" s="19"/>
      <c r="M34" s="19"/>
      <c r="N34" s="21" t="s">
        <v>101</v>
      </c>
    </row>
    <row r="35" spans="1:14" s="7" customFormat="1" ht="75" x14ac:dyDescent="0.25">
      <c r="A35" s="18" t="s">
        <v>100</v>
      </c>
      <c r="B35" s="19" t="s">
        <v>15</v>
      </c>
      <c r="C35" s="19" t="s">
        <v>16</v>
      </c>
      <c r="D35" s="18" t="str">
        <f t="shared" si="1"/>
        <v>23-AFFIDAMENTO DIRETTO</v>
      </c>
      <c r="E35" s="19" t="str">
        <f t="shared" si="2"/>
        <v>0000000000</v>
      </c>
      <c r="F35" s="19" t="s">
        <v>42</v>
      </c>
      <c r="G35" s="18" t="s">
        <v>42</v>
      </c>
      <c r="H35" s="19" t="str">
        <f>"1600,00"</f>
        <v>1600,00</v>
      </c>
      <c r="I35" s="19">
        <v>2023</v>
      </c>
      <c r="J35" s="20">
        <v>44952</v>
      </c>
      <c r="K35" s="20">
        <v>45046</v>
      </c>
      <c r="L35" s="19"/>
      <c r="M35" s="19"/>
      <c r="N35" s="21" t="s">
        <v>102</v>
      </c>
    </row>
    <row r="36" spans="1:14" s="7" customFormat="1" ht="75" x14ac:dyDescent="0.25">
      <c r="A36" s="18" t="s">
        <v>100</v>
      </c>
      <c r="B36" s="19" t="s">
        <v>15</v>
      </c>
      <c r="C36" s="19" t="s">
        <v>16</v>
      </c>
      <c r="D36" s="18" t="str">
        <f t="shared" si="1"/>
        <v>23-AFFIDAMENTO DIRETTO</v>
      </c>
      <c r="E36" s="19" t="str">
        <f t="shared" si="2"/>
        <v>0000000000</v>
      </c>
      <c r="F36" s="19" t="s">
        <v>46</v>
      </c>
      <c r="G36" s="18" t="s">
        <v>46</v>
      </c>
      <c r="H36" s="19" t="str">
        <f>"1600,00"</f>
        <v>1600,00</v>
      </c>
      <c r="I36" s="19">
        <v>2023</v>
      </c>
      <c r="J36" s="20">
        <v>44952</v>
      </c>
      <c r="K36" s="20">
        <v>45046</v>
      </c>
      <c r="L36" s="19"/>
      <c r="M36" s="19"/>
      <c r="N36" s="21" t="s">
        <v>103</v>
      </c>
    </row>
    <row r="37" spans="1:14" s="6" customFormat="1" ht="30" x14ac:dyDescent="0.25">
      <c r="A37" s="13" t="s">
        <v>104</v>
      </c>
      <c r="B37" s="14" t="s">
        <v>15</v>
      </c>
      <c r="C37" s="14" t="s">
        <v>16</v>
      </c>
      <c r="D37" s="13" t="str">
        <f t="shared" si="1"/>
        <v>23-AFFIDAMENTO DIRETTO</v>
      </c>
      <c r="E37" s="14" t="s">
        <v>105</v>
      </c>
      <c r="F37" s="13" t="s">
        <v>106</v>
      </c>
      <c r="G37" s="13" t="s">
        <v>106</v>
      </c>
      <c r="H37" s="9" t="str">
        <f>"671,00"</f>
        <v>671,00</v>
      </c>
      <c r="I37" s="14">
        <v>2023</v>
      </c>
      <c r="J37" s="22">
        <v>44949</v>
      </c>
      <c r="K37" s="17">
        <v>44949</v>
      </c>
      <c r="L37" s="14" t="s">
        <v>275</v>
      </c>
      <c r="M37" s="22">
        <v>45014</v>
      </c>
      <c r="N37" s="15" t="s">
        <v>107</v>
      </c>
    </row>
    <row r="38" spans="1:14" s="6" customFormat="1" ht="30" x14ac:dyDescent="0.25">
      <c r="A38" s="13" t="s">
        <v>108</v>
      </c>
      <c r="B38" s="14" t="s">
        <v>15</v>
      </c>
      <c r="C38" s="14" t="s">
        <v>16</v>
      </c>
      <c r="D38" s="13" t="str">
        <f t="shared" si="1"/>
        <v>23-AFFIDAMENTO DIRETTO</v>
      </c>
      <c r="E38" s="14" t="s">
        <v>109</v>
      </c>
      <c r="F38" s="13" t="s">
        <v>110</v>
      </c>
      <c r="G38" s="13" t="s">
        <v>110</v>
      </c>
      <c r="H38" s="9" t="str">
        <f>"960,00"</f>
        <v>960,00</v>
      </c>
      <c r="I38" s="14">
        <v>2023</v>
      </c>
      <c r="J38" s="22">
        <v>44950</v>
      </c>
      <c r="K38" s="22">
        <v>45315</v>
      </c>
      <c r="L38" s="14" t="s">
        <v>272</v>
      </c>
      <c r="M38" s="22">
        <v>45014</v>
      </c>
      <c r="N38" s="15" t="s">
        <v>111</v>
      </c>
    </row>
    <row r="39" spans="1:14" s="6" customFormat="1" ht="60" x14ac:dyDescent="0.25">
      <c r="A39" s="13" t="s">
        <v>112</v>
      </c>
      <c r="B39" s="14" t="s">
        <v>15</v>
      </c>
      <c r="C39" s="14" t="s">
        <v>16</v>
      </c>
      <c r="D39" s="13" t="str">
        <f t="shared" si="1"/>
        <v>23-AFFIDAMENTO DIRETTO</v>
      </c>
      <c r="E39" s="14" t="s">
        <v>113</v>
      </c>
      <c r="F39" s="13" t="s">
        <v>114</v>
      </c>
      <c r="G39" s="13" t="s">
        <v>114</v>
      </c>
      <c r="H39" s="9" t="str">
        <f>"611,42"</f>
        <v>611,42</v>
      </c>
      <c r="I39" s="14">
        <v>2023</v>
      </c>
      <c r="J39" s="17">
        <v>44950</v>
      </c>
      <c r="K39" s="17">
        <v>44950</v>
      </c>
      <c r="L39" s="14" t="s">
        <v>276</v>
      </c>
      <c r="M39" s="22">
        <v>45014</v>
      </c>
      <c r="N39" s="15" t="s">
        <v>115</v>
      </c>
    </row>
    <row r="40" spans="1:14" s="6" customFormat="1" ht="90" x14ac:dyDescent="0.25">
      <c r="A40" s="13" t="s">
        <v>165</v>
      </c>
      <c r="B40" s="14" t="s">
        <v>15</v>
      </c>
      <c r="C40" s="14" t="s">
        <v>16</v>
      </c>
      <c r="D40" s="13" t="str">
        <f>"04-PROCEDURA NEGOZIATA SENZA PREVIA PUBBLICAZIONE"</f>
        <v>04-PROCEDURA NEGOZIATA SENZA PREVIA PUBBLICAZIONE</v>
      </c>
      <c r="E40" s="14" t="s">
        <v>166</v>
      </c>
      <c r="F40" s="13" t="s">
        <v>167</v>
      </c>
      <c r="G40" s="13" t="s">
        <v>167</v>
      </c>
      <c r="H40" s="9" t="str">
        <f>"2355,00"</f>
        <v>2355,00</v>
      </c>
      <c r="I40" s="14">
        <v>2023</v>
      </c>
      <c r="J40" s="17">
        <v>44927</v>
      </c>
      <c r="K40" s="17">
        <v>45291</v>
      </c>
      <c r="L40" s="14" t="s">
        <v>287</v>
      </c>
      <c r="M40" s="22">
        <v>45050</v>
      </c>
      <c r="N40" s="15" t="s">
        <v>116</v>
      </c>
    </row>
    <row r="41" spans="1:14" s="6" customFormat="1" ht="30" x14ac:dyDescent="0.25">
      <c r="A41" s="13" t="s">
        <v>170</v>
      </c>
      <c r="B41" s="14" t="s">
        <v>15</v>
      </c>
      <c r="C41" s="14" t="s">
        <v>16</v>
      </c>
      <c r="D41" s="13" t="str">
        <f>"23-AFFIDAMENTO DIRETTO"</f>
        <v>23-AFFIDAMENTO DIRETTO</v>
      </c>
      <c r="E41" s="14" t="s">
        <v>169</v>
      </c>
      <c r="F41" s="13" t="s">
        <v>171</v>
      </c>
      <c r="G41" s="13" t="s">
        <v>171</v>
      </c>
      <c r="H41" s="9" t="str">
        <f>"549,00"</f>
        <v>549,00</v>
      </c>
      <c r="I41" s="14">
        <v>2023</v>
      </c>
      <c r="J41" s="17">
        <v>44987</v>
      </c>
      <c r="K41" s="17">
        <v>45353</v>
      </c>
      <c r="L41" s="14" t="s">
        <v>273</v>
      </c>
      <c r="M41" s="22">
        <v>45036</v>
      </c>
      <c r="N41" s="15" t="s">
        <v>117</v>
      </c>
    </row>
    <row r="42" spans="1:14" s="6" customFormat="1" ht="30" x14ac:dyDescent="0.25">
      <c r="A42" s="13" t="s">
        <v>172</v>
      </c>
      <c r="B42" s="14" t="s">
        <v>15</v>
      </c>
      <c r="C42" s="14" t="s">
        <v>16</v>
      </c>
      <c r="D42" s="13" t="str">
        <f>"23-AFFIDAMENTO DIRETTO"</f>
        <v>23-AFFIDAMENTO DIRETTO</v>
      </c>
      <c r="E42" s="14" t="s">
        <v>173</v>
      </c>
      <c r="F42" s="13" t="s">
        <v>174</v>
      </c>
      <c r="G42" s="13" t="s">
        <v>174</v>
      </c>
      <c r="H42" s="9" t="str">
        <f>"18104,00"</f>
        <v>18104,00</v>
      </c>
      <c r="I42" s="14">
        <v>2023</v>
      </c>
      <c r="J42" s="17">
        <v>44988</v>
      </c>
      <c r="K42" s="17">
        <v>45415</v>
      </c>
      <c r="L42" s="14" t="s">
        <v>300</v>
      </c>
      <c r="M42" s="22">
        <v>45077</v>
      </c>
      <c r="N42" s="15" t="s">
        <v>118</v>
      </c>
    </row>
    <row r="43" spans="1:14" s="6" customFormat="1" ht="75" x14ac:dyDescent="0.25">
      <c r="A43" s="13" t="s">
        <v>175</v>
      </c>
      <c r="B43" s="14" t="s">
        <v>15</v>
      </c>
      <c r="C43" s="14" t="s">
        <v>16</v>
      </c>
      <c r="D43" s="13" t="str">
        <f>"23-AFFIDAMENTO DIRETTO"</f>
        <v>23-AFFIDAMENTO DIRETTO</v>
      </c>
      <c r="E43" s="14" t="s">
        <v>176</v>
      </c>
      <c r="F43" s="13" t="s">
        <v>259</v>
      </c>
      <c r="G43" s="13" t="s">
        <v>259</v>
      </c>
      <c r="H43" s="9" t="str">
        <f>"11560,00"</f>
        <v>11560,00</v>
      </c>
      <c r="I43" s="14">
        <v>2023</v>
      </c>
      <c r="J43" s="17">
        <v>44998</v>
      </c>
      <c r="K43" s="17">
        <v>45019</v>
      </c>
      <c r="L43" s="14" t="s">
        <v>274</v>
      </c>
      <c r="M43" s="22">
        <v>45068</v>
      </c>
      <c r="N43" s="15" t="s">
        <v>119</v>
      </c>
    </row>
    <row r="44" spans="1:14" s="6" customFormat="1" ht="45" x14ac:dyDescent="0.25">
      <c r="A44" s="13" t="str">
        <f>"progetto General Management skills -L'Italia nel 2050"</f>
        <v>progetto General Management skills -L'Italia nel 2050</v>
      </c>
      <c r="B44" s="14" t="s">
        <v>15</v>
      </c>
      <c r="C44" s="14" t="s">
        <v>16</v>
      </c>
      <c r="D44" s="13" t="str">
        <f>"04-PROCEDURA NEGOZIATA SENZA PREVIA PUBBLICAZIONE"</f>
        <v>04-PROCEDURA NEGOZIATA SENZA PREVIA PUBBLICAZIONE</v>
      </c>
      <c r="E44" s="14" t="str">
        <f>"Z143A67232"</f>
        <v>Z143A67232</v>
      </c>
      <c r="F44" s="13" t="str">
        <f>"Istituto Piepoli S.r.l., 03779980964"</f>
        <v>Istituto Piepoli S.r.l., 03779980964</v>
      </c>
      <c r="G44" s="13" t="str">
        <f>"Istituto Piepoli S.r.l., 03779980964"</f>
        <v>Istituto Piepoli S.r.l., 03779980964</v>
      </c>
      <c r="H44" s="9" t="str">
        <f>"24500,00"</f>
        <v>24500,00</v>
      </c>
      <c r="I44" s="14">
        <v>2023</v>
      </c>
      <c r="J44" s="17">
        <v>45054</v>
      </c>
      <c r="K44" s="17">
        <v>45077</v>
      </c>
      <c r="L44" s="14" t="s">
        <v>319</v>
      </c>
      <c r="M44" s="22">
        <v>45090</v>
      </c>
      <c r="N44" s="15" t="s">
        <v>120</v>
      </c>
    </row>
    <row r="45" spans="1:14" s="6" customFormat="1" ht="30" x14ac:dyDescent="0.25">
      <c r="A45" s="13" t="str">
        <f>"Progetto Erasmus+ Mobilità Malta - accompagnatore"</f>
        <v>Progetto Erasmus+ Mobilità Malta - accompagnatore</v>
      </c>
      <c r="B45" s="14" t="s">
        <v>15</v>
      </c>
      <c r="C45" s="14" t="s">
        <v>16</v>
      </c>
      <c r="D45" s="13" t="str">
        <f t="shared" ref="D45:D71" si="3">"23-AFFIDAMENTO DIRETTO"</f>
        <v>23-AFFIDAMENTO DIRETTO</v>
      </c>
      <c r="E45" s="14" t="str">
        <f t="shared" ref="E45:E50" si="4">"0000000000"</f>
        <v>0000000000</v>
      </c>
      <c r="F45" s="13" t="s">
        <v>195</v>
      </c>
      <c r="G45" s="13" t="s">
        <v>195</v>
      </c>
      <c r="H45" s="9" t="str">
        <f>"1120,00"</f>
        <v>1120,00</v>
      </c>
      <c r="I45" s="14">
        <v>2023</v>
      </c>
      <c r="J45" s="17">
        <v>45017</v>
      </c>
      <c r="K45" s="17">
        <v>45048</v>
      </c>
      <c r="L45" s="14"/>
      <c r="M45" s="14"/>
      <c r="N45" s="15" t="s">
        <v>177</v>
      </c>
    </row>
    <row r="46" spans="1:14" s="6" customFormat="1" ht="33" customHeight="1" x14ac:dyDescent="0.25">
      <c r="A46" s="13" t="str">
        <f>"Progetto Erasmus+ Mobilità Portogallo - accompagnatore"</f>
        <v>Progetto Erasmus+ Mobilità Portogallo - accompagnatore</v>
      </c>
      <c r="B46" s="14" t="s">
        <v>15</v>
      </c>
      <c r="C46" s="14" t="s">
        <v>16</v>
      </c>
      <c r="D46" s="13" t="str">
        <f t="shared" si="3"/>
        <v>23-AFFIDAMENTO DIRETTO</v>
      </c>
      <c r="E46" s="14" t="str">
        <f t="shared" si="4"/>
        <v>0000000000</v>
      </c>
      <c r="F46" s="13" t="str">
        <f>"Rabbiosi Alessandro, RBBLSN97L52F712Q"</f>
        <v>Rabbiosi Alessandro, RBBLSN97L52F712Q</v>
      </c>
      <c r="G46" s="13" t="str">
        <f>"Rabbiosi Alessandro, RBBLSN97L52F712Q"</f>
        <v>Rabbiosi Alessandro, RBBLSN97L52F712Q</v>
      </c>
      <c r="H46" s="9" t="str">
        <f>"1120,00"</f>
        <v>1120,00</v>
      </c>
      <c r="I46" s="14">
        <v>2023</v>
      </c>
      <c r="J46" s="17">
        <v>45019</v>
      </c>
      <c r="K46" s="17">
        <v>45049</v>
      </c>
      <c r="L46" s="14" t="str">
        <f>""</f>
        <v/>
      </c>
      <c r="M46" s="14"/>
      <c r="N46" s="15" t="s">
        <v>121</v>
      </c>
    </row>
    <row r="47" spans="1:14" s="6" customFormat="1" ht="30" x14ac:dyDescent="0.25">
      <c r="A47" s="13" t="str">
        <f>"Progetto Erasmus+ Mobilità Spagna - accompagnatore"</f>
        <v>Progetto Erasmus+ Mobilità Spagna - accompagnatore</v>
      </c>
      <c r="B47" s="14" t="s">
        <v>15</v>
      </c>
      <c r="C47" s="14" t="s">
        <v>16</v>
      </c>
      <c r="D47" s="13" t="str">
        <f t="shared" si="3"/>
        <v>23-AFFIDAMENTO DIRETTO</v>
      </c>
      <c r="E47" s="14" t="str">
        <f t="shared" si="4"/>
        <v>0000000000</v>
      </c>
      <c r="F47" s="13" t="s">
        <v>196</v>
      </c>
      <c r="G47" s="13" t="s">
        <v>196</v>
      </c>
      <c r="H47" s="9" t="str">
        <f>"1120,00"</f>
        <v>1120,00</v>
      </c>
      <c r="I47" s="14">
        <v>2023</v>
      </c>
      <c r="J47" s="17">
        <v>45011</v>
      </c>
      <c r="K47" s="17">
        <v>45040</v>
      </c>
      <c r="L47" s="14"/>
      <c r="M47" s="14"/>
      <c r="N47" s="15" t="s">
        <v>178</v>
      </c>
    </row>
    <row r="48" spans="1:14" s="6" customFormat="1" ht="45" x14ac:dyDescent="0.25">
      <c r="A48" s="13" t="str">
        <f>"Progetto Garanzia Occupabilità Lavoratori - orientamento"</f>
        <v>Progetto Garanzia Occupabilità Lavoratori - orientamento</v>
      </c>
      <c r="B48" s="14" t="s">
        <v>15</v>
      </c>
      <c r="C48" s="14" t="s">
        <v>16</v>
      </c>
      <c r="D48" s="13" t="str">
        <f t="shared" si="3"/>
        <v>23-AFFIDAMENTO DIRETTO</v>
      </c>
      <c r="E48" s="14" t="str">
        <f t="shared" si="4"/>
        <v>0000000000</v>
      </c>
      <c r="F48" s="13" t="s">
        <v>197</v>
      </c>
      <c r="G48" s="13" t="s">
        <v>197</v>
      </c>
      <c r="H48" s="9" t="str">
        <f>"3524,85"</f>
        <v>3524,85</v>
      </c>
      <c r="I48" s="14">
        <v>2023</v>
      </c>
      <c r="J48" s="17">
        <v>45007</v>
      </c>
      <c r="K48" s="17">
        <v>45107</v>
      </c>
      <c r="L48" s="14" t="s">
        <v>325</v>
      </c>
      <c r="M48" s="22">
        <v>45077</v>
      </c>
      <c r="N48" s="15" t="s">
        <v>179</v>
      </c>
    </row>
    <row r="49" spans="1:14" s="7" customFormat="1" ht="45" x14ac:dyDescent="0.25">
      <c r="A49" s="18" t="str">
        <f>"Progetto Garanzia Occupabilità Lavoratori - orientamento"</f>
        <v>Progetto Garanzia Occupabilità Lavoratori - orientamento</v>
      </c>
      <c r="B49" s="19" t="s">
        <v>15</v>
      </c>
      <c r="C49" s="19" t="s">
        <v>16</v>
      </c>
      <c r="D49" s="18" t="str">
        <f t="shared" si="3"/>
        <v>23-AFFIDAMENTO DIRETTO</v>
      </c>
      <c r="E49" s="19" t="str">
        <f t="shared" si="4"/>
        <v>0000000000</v>
      </c>
      <c r="F49" s="18" t="str">
        <f>"Longhi Maria Cristina, 08371601009"</f>
        <v>Longhi Maria Cristina, 08371601009</v>
      </c>
      <c r="G49" s="18" t="str">
        <f>"Longhi Maria Cristina, 08371601009"</f>
        <v>Longhi Maria Cristina, 08371601009</v>
      </c>
      <c r="H49" s="19" t="str">
        <f>"3916,50"</f>
        <v>3916,50</v>
      </c>
      <c r="I49" s="19">
        <v>2023</v>
      </c>
      <c r="J49" s="20">
        <v>45009</v>
      </c>
      <c r="K49" s="20">
        <v>45107</v>
      </c>
      <c r="L49" s="19" t="s">
        <v>326</v>
      </c>
      <c r="M49" s="22">
        <v>45077</v>
      </c>
      <c r="N49" s="21" t="s">
        <v>122</v>
      </c>
    </row>
    <row r="50" spans="1:14" s="7" customFormat="1" ht="45" x14ac:dyDescent="0.25">
      <c r="A50" s="18" t="str">
        <f>"Progetto Garanzia Occupabilità Lavoratori - orientamento"</f>
        <v>Progetto Garanzia Occupabilità Lavoratori - orientamento</v>
      </c>
      <c r="B50" s="19" t="s">
        <v>15</v>
      </c>
      <c r="C50" s="19" t="s">
        <v>16</v>
      </c>
      <c r="D50" s="18" t="str">
        <f t="shared" si="3"/>
        <v>23-AFFIDAMENTO DIRETTO</v>
      </c>
      <c r="E50" s="19" t="str">
        <f t="shared" si="4"/>
        <v>0000000000</v>
      </c>
      <c r="F50" s="18" t="s">
        <v>203</v>
      </c>
      <c r="G50" s="18" t="s">
        <v>203</v>
      </c>
      <c r="H50" s="19" t="str">
        <f>"3394,30"</f>
        <v>3394,30</v>
      </c>
      <c r="I50" s="19">
        <v>2023</v>
      </c>
      <c r="J50" s="20">
        <v>45008</v>
      </c>
      <c r="K50" s="20">
        <v>45138</v>
      </c>
      <c r="L50" s="19"/>
      <c r="M50" s="19"/>
      <c r="N50" s="21" t="s">
        <v>180</v>
      </c>
    </row>
    <row r="51" spans="1:14" s="6" customFormat="1" ht="30" x14ac:dyDescent="0.25">
      <c r="A51" s="13" t="str">
        <f>"Fornitura testi corso AAM 02.2023"</f>
        <v>Fornitura testi corso AAM 02.2023</v>
      </c>
      <c r="B51" s="14" t="s">
        <v>15</v>
      </c>
      <c r="C51" s="14" t="s">
        <v>16</v>
      </c>
      <c r="D51" s="13" t="str">
        <f t="shared" si="3"/>
        <v>23-AFFIDAMENTO DIRETTO</v>
      </c>
      <c r="E51" s="14" t="str">
        <f>"ZC43A78EE8"</f>
        <v>ZC43A78EE8</v>
      </c>
      <c r="F51" s="13" t="str">
        <f t="shared" ref="F51:G53" si="5">"MAGGIOLI SPA, 02066400405"</f>
        <v>MAGGIOLI SPA, 02066400405</v>
      </c>
      <c r="G51" s="13" t="str">
        <f t="shared" si="5"/>
        <v>MAGGIOLI SPA, 02066400405</v>
      </c>
      <c r="H51" s="9" t="str">
        <f>"467,50"</f>
        <v>467,50</v>
      </c>
      <c r="I51" s="14">
        <v>2023</v>
      </c>
      <c r="J51" s="17">
        <v>45006</v>
      </c>
      <c r="K51" s="17">
        <v>45012</v>
      </c>
      <c r="L51" s="14" t="s">
        <v>308</v>
      </c>
      <c r="M51" s="22">
        <v>45077</v>
      </c>
      <c r="N51" s="15" t="s">
        <v>123</v>
      </c>
    </row>
    <row r="52" spans="1:14" s="6" customFormat="1" ht="30" x14ac:dyDescent="0.25">
      <c r="A52" s="13" t="str">
        <f>"Fornitura testi corso EX REC 01.2023"</f>
        <v>Fornitura testi corso EX REC 01.2023</v>
      </c>
      <c r="B52" s="14" t="s">
        <v>15</v>
      </c>
      <c r="C52" s="14" t="s">
        <v>16</v>
      </c>
      <c r="D52" s="13" t="str">
        <f t="shared" si="3"/>
        <v>23-AFFIDAMENTO DIRETTO</v>
      </c>
      <c r="E52" s="14" t="str">
        <f>"Z303A78F37"</f>
        <v>Z303A78F37</v>
      </c>
      <c r="F52" s="13" t="str">
        <f t="shared" si="5"/>
        <v>MAGGIOLI SPA, 02066400405</v>
      </c>
      <c r="G52" s="13" t="str">
        <f t="shared" si="5"/>
        <v>MAGGIOLI SPA, 02066400405</v>
      </c>
      <c r="H52" s="9" t="str">
        <f>"162,00"</f>
        <v>162,00</v>
      </c>
      <c r="I52" s="14">
        <v>2023</v>
      </c>
      <c r="J52" s="17">
        <v>46467</v>
      </c>
      <c r="K52" s="17">
        <v>46473</v>
      </c>
      <c r="L52" s="14" t="s">
        <v>306</v>
      </c>
      <c r="M52" s="22">
        <v>45077</v>
      </c>
      <c r="N52" s="15" t="s">
        <v>124</v>
      </c>
    </row>
    <row r="53" spans="1:14" s="6" customFormat="1" ht="30" x14ac:dyDescent="0.25">
      <c r="A53" s="13" t="str">
        <f>"Fornitura testi corso AAM ARC 01.2023"</f>
        <v>Fornitura testi corso AAM ARC 01.2023</v>
      </c>
      <c r="B53" s="14" t="s">
        <v>15</v>
      </c>
      <c r="C53" s="14" t="s">
        <v>16</v>
      </c>
      <c r="D53" s="13" t="str">
        <f t="shared" si="3"/>
        <v>23-AFFIDAMENTO DIRETTO</v>
      </c>
      <c r="E53" s="14" t="str">
        <f>"Z503A78F04"</f>
        <v>Z503A78F04</v>
      </c>
      <c r="F53" s="13" t="str">
        <f t="shared" si="5"/>
        <v>MAGGIOLI SPA, 02066400405</v>
      </c>
      <c r="G53" s="13" t="str">
        <f t="shared" si="5"/>
        <v>MAGGIOLI SPA, 02066400405</v>
      </c>
      <c r="H53" s="9" t="str">
        <f>"640,00"</f>
        <v>640,00</v>
      </c>
      <c r="I53" s="14">
        <v>2023</v>
      </c>
      <c r="J53" s="17">
        <v>45006</v>
      </c>
      <c r="K53" s="17">
        <v>45012</v>
      </c>
      <c r="L53" s="14" t="s">
        <v>307</v>
      </c>
      <c r="M53" s="22">
        <v>45077</v>
      </c>
      <c r="N53" s="15" t="s">
        <v>125</v>
      </c>
    </row>
    <row r="54" spans="1:14" s="6" customFormat="1" ht="45" x14ac:dyDescent="0.25">
      <c r="A54" s="13" t="str">
        <f>"docenza corso AIM 02/2023 - Nozioni diritto tributario e diritto finanziario"</f>
        <v>docenza corso AIM 02/2023 - Nozioni diritto tributario e diritto finanziario</v>
      </c>
      <c r="B54" s="14" t="s">
        <v>15</v>
      </c>
      <c r="C54" s="14" t="s">
        <v>16</v>
      </c>
      <c r="D54" s="13" t="str">
        <f t="shared" si="3"/>
        <v>23-AFFIDAMENTO DIRETTO</v>
      </c>
      <c r="E54" s="14" t="str">
        <f t="shared" ref="E54:E70" si="6">"0000000000"</f>
        <v>0000000000</v>
      </c>
      <c r="F54" s="13" t="str">
        <f>"DONDA PAOLO, 07143251002"</f>
        <v>DONDA PAOLO, 07143251002</v>
      </c>
      <c r="G54" s="13" t="str">
        <f>"DONDA PAOLO, 07143251002"</f>
        <v>DONDA PAOLO, 07143251002</v>
      </c>
      <c r="H54" s="9" t="str">
        <f>"1330,00"</f>
        <v>1330,00</v>
      </c>
      <c r="I54" s="14">
        <v>2023</v>
      </c>
      <c r="J54" s="17">
        <v>45012</v>
      </c>
      <c r="K54" s="17">
        <v>45071</v>
      </c>
      <c r="L54" s="14" t="str">
        <f>""</f>
        <v/>
      </c>
      <c r="M54" s="14"/>
      <c r="N54" s="15" t="s">
        <v>126</v>
      </c>
    </row>
    <row r="55" spans="1:14" s="6" customFormat="1" ht="30" x14ac:dyDescent="0.25">
      <c r="A55" s="13" t="str">
        <f>"docenza corso AIM 01/2023 - Nozioni diritto civile"</f>
        <v>docenza corso AIM 01/2023 - Nozioni diritto civile</v>
      </c>
      <c r="B55" s="14" t="s">
        <v>15</v>
      </c>
      <c r="C55" s="14" t="s">
        <v>16</v>
      </c>
      <c r="D55" s="13" t="str">
        <f t="shared" si="3"/>
        <v>23-AFFIDAMENTO DIRETTO</v>
      </c>
      <c r="E55" s="14" t="str">
        <f t="shared" si="6"/>
        <v>0000000000</v>
      </c>
      <c r="F55" s="13" t="str">
        <f>"Iembo Elena, 02459670796"</f>
        <v>Iembo Elena, 02459670796</v>
      </c>
      <c r="G55" s="13" t="str">
        <f>"Iembo Elena, 02459670796"</f>
        <v>Iembo Elena, 02459670796</v>
      </c>
      <c r="H55" s="9" t="str">
        <f>"1260,00"</f>
        <v>1260,00</v>
      </c>
      <c r="I55" s="14">
        <v>2023</v>
      </c>
      <c r="J55" s="17">
        <v>45012</v>
      </c>
      <c r="K55" s="17">
        <v>45071</v>
      </c>
      <c r="L55" s="14" t="str">
        <f>""</f>
        <v/>
      </c>
      <c r="M55" s="14"/>
      <c r="N55" s="15" t="s">
        <v>127</v>
      </c>
    </row>
    <row r="56" spans="1:14" s="6" customFormat="1" ht="30" x14ac:dyDescent="0.25">
      <c r="A56" s="13" t="str">
        <f>"docenza corso AIM 02/2023 - nozioni di estimo"</f>
        <v>docenza corso AIM 02/2023 - nozioni di estimo</v>
      </c>
      <c r="B56" s="14" t="s">
        <v>15</v>
      </c>
      <c r="C56" s="14" t="s">
        <v>16</v>
      </c>
      <c r="D56" s="13" t="str">
        <f t="shared" si="3"/>
        <v>23-AFFIDAMENTO DIRETTO</v>
      </c>
      <c r="E56" s="14" t="str">
        <f t="shared" si="6"/>
        <v>0000000000</v>
      </c>
      <c r="F56" s="13" t="str">
        <f>"ROSA MANGANO, 02356250783"</f>
        <v>ROSA MANGANO, 02356250783</v>
      </c>
      <c r="G56" s="13" t="str">
        <f>"ROSA MANGANO, 02356250783"</f>
        <v>ROSA MANGANO, 02356250783</v>
      </c>
      <c r="H56" s="9" t="str">
        <f>"1310,40"</f>
        <v>1310,40</v>
      </c>
      <c r="I56" s="14">
        <v>2023</v>
      </c>
      <c r="J56" s="17">
        <v>45012</v>
      </c>
      <c r="K56" s="17">
        <v>45071</v>
      </c>
      <c r="L56" s="14" t="s">
        <v>317</v>
      </c>
      <c r="M56" s="22">
        <v>45090</v>
      </c>
      <c r="N56" s="15" t="s">
        <v>128</v>
      </c>
    </row>
    <row r="57" spans="1:14" s="6" customFormat="1" ht="30" x14ac:dyDescent="0.25">
      <c r="A57" s="13" t="str">
        <f>"docenza corso AIM 02/2023 - Nozioni diritto amm.vo"</f>
        <v>docenza corso AIM 02/2023 - Nozioni diritto amm.vo</v>
      </c>
      <c r="B57" s="14" t="s">
        <v>15</v>
      </c>
      <c r="C57" s="14" t="s">
        <v>16</v>
      </c>
      <c r="D57" s="13" t="str">
        <f t="shared" si="3"/>
        <v>23-AFFIDAMENTO DIRETTO</v>
      </c>
      <c r="E57" s="14" t="str">
        <f t="shared" si="6"/>
        <v>0000000000</v>
      </c>
      <c r="F57" s="13" t="str">
        <f>"PIZZULLO MICHELE, 06407131009"</f>
        <v>PIZZULLO MICHELE, 06407131009</v>
      </c>
      <c r="G57" s="13" t="str">
        <f>"PIZZULLO MICHELE, 06407131009"</f>
        <v>PIZZULLO MICHELE, 06407131009</v>
      </c>
      <c r="H57" s="9" t="str">
        <f>"714,00"</f>
        <v>714,00</v>
      </c>
      <c r="I57" s="14">
        <v>2023</v>
      </c>
      <c r="J57" s="17">
        <v>45009</v>
      </c>
      <c r="K57" s="17">
        <v>45071</v>
      </c>
      <c r="L57" s="14" t="s">
        <v>318</v>
      </c>
      <c r="M57" s="22">
        <v>45090</v>
      </c>
      <c r="N57" s="15" t="s">
        <v>129</v>
      </c>
    </row>
    <row r="58" spans="1:14" s="6" customFormat="1" ht="45" x14ac:dyDescent="0.25">
      <c r="A58" s="13" t="str">
        <f>"docenza corso AIM 02/2023 - nozioni di Diritto Commerciale"</f>
        <v>docenza corso AIM 02/2023 - nozioni di Diritto Commerciale</v>
      </c>
      <c r="B58" s="14" t="s">
        <v>15</v>
      </c>
      <c r="C58" s="14" t="s">
        <v>16</v>
      </c>
      <c r="D58" s="13" t="str">
        <f t="shared" si="3"/>
        <v>23-AFFIDAMENTO DIRETTO</v>
      </c>
      <c r="E58" s="14" t="str">
        <f t="shared" si="6"/>
        <v>0000000000</v>
      </c>
      <c r="F58" s="13" t="str">
        <f>"Piacentini Marcello, 07761221006"</f>
        <v>Piacentini Marcello, 07761221006</v>
      </c>
      <c r="G58" s="13" t="str">
        <f>"Piacentini Marcello, 07761221006"</f>
        <v>Piacentini Marcello, 07761221006</v>
      </c>
      <c r="H58" s="9" t="str">
        <f>"700,00"</f>
        <v>700,00</v>
      </c>
      <c r="I58" s="14">
        <v>2023</v>
      </c>
      <c r="J58" s="17">
        <v>45012</v>
      </c>
      <c r="K58" s="17">
        <v>45071</v>
      </c>
      <c r="L58" s="14" t="str">
        <f>""</f>
        <v/>
      </c>
      <c r="M58" s="14"/>
      <c r="N58" s="15" t="s">
        <v>130</v>
      </c>
    </row>
    <row r="59" spans="1:14" s="6" customFormat="1" ht="30" x14ac:dyDescent="0.25">
      <c r="A59" s="13" t="s">
        <v>131</v>
      </c>
      <c r="B59" s="14" t="s">
        <v>15</v>
      </c>
      <c r="C59" s="14" t="s">
        <v>16</v>
      </c>
      <c r="D59" s="13" t="str">
        <f t="shared" si="3"/>
        <v>23-AFFIDAMENTO DIRETTO</v>
      </c>
      <c r="E59" s="14" t="str">
        <f t="shared" si="6"/>
        <v>0000000000</v>
      </c>
      <c r="F59" s="13" t="str">
        <f>"DONDA PAOLO, 07143251002"</f>
        <v>DONDA PAOLO, 07143251002</v>
      </c>
      <c r="G59" s="13" t="str">
        <f>"DONDA PAOLO, 07143251002"</f>
        <v>DONDA PAOLO, 07143251002</v>
      </c>
      <c r="H59" s="9" t="str">
        <f>"700,00"</f>
        <v>700,00</v>
      </c>
      <c r="I59" s="14">
        <v>2023</v>
      </c>
      <c r="J59" s="17">
        <v>45012</v>
      </c>
      <c r="K59" s="17">
        <v>45070</v>
      </c>
      <c r="L59" s="14" t="str">
        <f>""</f>
        <v/>
      </c>
      <c r="M59" s="14"/>
      <c r="N59" s="15" t="s">
        <v>132</v>
      </c>
    </row>
    <row r="60" spans="1:14" s="6" customFormat="1" ht="60" x14ac:dyDescent="0.25">
      <c r="A60" s="13" t="str">
        <f>"docenza corso ARC 01/2023 - “Tutela previdenziale ed assistenziale” e “Disciplina Legislativa contrattuale”"</f>
        <v>docenza corso ARC 01/2023 - “Tutela previdenziale ed assistenziale” e “Disciplina Legislativa contrattuale”</v>
      </c>
      <c r="B60" s="14" t="s">
        <v>15</v>
      </c>
      <c r="C60" s="14" t="s">
        <v>16</v>
      </c>
      <c r="D60" s="13" t="str">
        <f t="shared" si="3"/>
        <v>23-AFFIDAMENTO DIRETTO</v>
      </c>
      <c r="E60" s="14" t="str">
        <f t="shared" si="6"/>
        <v>0000000000</v>
      </c>
      <c r="F60" s="13" t="str">
        <f>"FLAVIA LOZZI, LZZFLV73C58H501V"</f>
        <v>FLAVIA LOZZI, LZZFLV73C58H501V</v>
      </c>
      <c r="G60" s="13" t="str">
        <f>"FLAVIA LOZZI, LZZFLV73C58H501V"</f>
        <v>FLAVIA LOZZI, LZZFLV73C58H501V</v>
      </c>
      <c r="H60" s="9" t="str">
        <f>"1884,40"</f>
        <v>1884,40</v>
      </c>
      <c r="I60" s="14">
        <v>2023</v>
      </c>
      <c r="J60" s="17">
        <v>45012</v>
      </c>
      <c r="K60" s="17">
        <v>45070</v>
      </c>
      <c r="L60" s="14" t="s">
        <v>313</v>
      </c>
      <c r="M60" s="22">
        <v>45090</v>
      </c>
      <c r="N60" s="15" t="s">
        <v>133</v>
      </c>
    </row>
    <row r="61" spans="1:14" s="6" customFormat="1" ht="45" x14ac:dyDescent="0.25">
      <c r="A61" s="13" t="str">
        <f>"docenza corso ARC 01/2023 - nozioni di Diritto Commerciale"</f>
        <v>docenza corso ARC 01/2023 - nozioni di Diritto Commerciale</v>
      </c>
      <c r="B61" s="14" t="s">
        <v>15</v>
      </c>
      <c r="C61" s="14" t="s">
        <v>16</v>
      </c>
      <c r="D61" s="13" t="str">
        <f t="shared" si="3"/>
        <v>23-AFFIDAMENTO DIRETTO</v>
      </c>
      <c r="E61" s="14" t="str">
        <f t="shared" si="6"/>
        <v>0000000000</v>
      </c>
      <c r="F61" s="13" t="str">
        <f>"CLEMENZI FEDERICO, 08865531001"</f>
        <v>CLEMENZI FEDERICO, 08865531001</v>
      </c>
      <c r="G61" s="13" t="str">
        <f>"CLEMENZI FEDERICO, 08865531001"</f>
        <v>CLEMENZI FEDERICO, 08865531001</v>
      </c>
      <c r="H61" s="9" t="str">
        <f>"730,00"</f>
        <v>730,00</v>
      </c>
      <c r="I61" s="14">
        <v>2023</v>
      </c>
      <c r="J61" s="17">
        <v>45012</v>
      </c>
      <c r="K61" s="17">
        <v>45070</v>
      </c>
      <c r="L61" s="14" t="s">
        <v>282</v>
      </c>
      <c r="M61" s="22">
        <v>45090</v>
      </c>
      <c r="N61" s="15" t="s">
        <v>134</v>
      </c>
    </row>
    <row r="62" spans="1:14" s="6" customFormat="1" ht="45" x14ac:dyDescent="0.25">
      <c r="A62" s="13" t="str">
        <f>"docenza corso ARC 01/2023 - Organizzazione e tecniche di vendita"</f>
        <v>docenza corso ARC 01/2023 - Organizzazione e tecniche di vendita</v>
      </c>
      <c r="B62" s="14" t="s">
        <v>15</v>
      </c>
      <c r="C62" s="14" t="s">
        <v>16</v>
      </c>
      <c r="D62" s="13" t="str">
        <f t="shared" si="3"/>
        <v>23-AFFIDAMENTO DIRETTO</v>
      </c>
      <c r="E62" s="14" t="str">
        <f t="shared" si="6"/>
        <v>0000000000</v>
      </c>
      <c r="F62" s="13" t="str">
        <f>"Placidi Osvaldo, 10487991001"</f>
        <v>Placidi Osvaldo, 10487991001</v>
      </c>
      <c r="G62" s="13" t="str">
        <f>"Placidi Osvaldo, 10487991001"</f>
        <v>Placidi Osvaldo, 10487991001</v>
      </c>
      <c r="H62" s="9" t="str">
        <f>"1110,00"</f>
        <v>1110,00</v>
      </c>
      <c r="I62" s="14">
        <v>2023</v>
      </c>
      <c r="J62" s="17">
        <v>45009</v>
      </c>
      <c r="K62" s="17">
        <v>45070</v>
      </c>
      <c r="L62" s="14" t="s">
        <v>312</v>
      </c>
      <c r="M62" s="22">
        <v>45090</v>
      </c>
      <c r="N62" s="15" t="s">
        <v>135</v>
      </c>
    </row>
    <row r="63" spans="1:14" s="6" customFormat="1" ht="30" x14ac:dyDescent="0.25">
      <c r="A63" s="13" t="str">
        <f>"Progetto Erasmus+ Mobilità Francia - accompagnatore"</f>
        <v>Progetto Erasmus+ Mobilità Francia - accompagnatore</v>
      </c>
      <c r="B63" s="14" t="s">
        <v>15</v>
      </c>
      <c r="C63" s="14" t="s">
        <v>16</v>
      </c>
      <c r="D63" s="13" t="str">
        <f t="shared" si="3"/>
        <v>23-AFFIDAMENTO DIRETTO</v>
      </c>
      <c r="E63" s="14" t="str">
        <f t="shared" si="6"/>
        <v>0000000000</v>
      </c>
      <c r="F63" s="13" t="str">
        <f>"Letizia Pirrone, PRRLTZ95E46A944K"</f>
        <v>Letizia Pirrone, PRRLTZ95E46A944K</v>
      </c>
      <c r="G63" s="13" t="str">
        <f>"Letizia Pirrone, PRRLTZ95E46A944K"</f>
        <v>Letizia Pirrone, PRRLTZ95E46A944K</v>
      </c>
      <c r="H63" s="9" t="str">
        <f>"1120,00"</f>
        <v>1120,00</v>
      </c>
      <c r="I63" s="14">
        <v>2023</v>
      </c>
      <c r="J63" s="17">
        <v>45022</v>
      </c>
      <c r="K63" s="17">
        <v>45053</v>
      </c>
      <c r="L63" s="14" t="str">
        <f>""</f>
        <v/>
      </c>
      <c r="M63" s="14"/>
      <c r="N63" s="15" t="s">
        <v>136</v>
      </c>
    </row>
    <row r="64" spans="1:14" s="6" customFormat="1" ht="30" x14ac:dyDescent="0.25">
      <c r="A64" s="13" t="str">
        <f>"docenza corso EX REC 01/2023 - Legislazione fiscal"</f>
        <v>docenza corso EX REC 01/2023 - Legislazione fiscal</v>
      </c>
      <c r="B64" s="14" t="s">
        <v>15</v>
      </c>
      <c r="C64" s="14" t="s">
        <v>16</v>
      </c>
      <c r="D64" s="13" t="str">
        <f t="shared" si="3"/>
        <v>23-AFFIDAMENTO DIRETTO</v>
      </c>
      <c r="E64" s="14" t="str">
        <f t="shared" si="6"/>
        <v>0000000000</v>
      </c>
      <c r="F64" s="13" t="str">
        <f>"DONDA PAOLO, 07143251002"</f>
        <v>DONDA PAOLO, 07143251002</v>
      </c>
      <c r="G64" s="13" t="str">
        <f>"DONDA PAOLO, 07143251002"</f>
        <v>DONDA PAOLO, 07143251002</v>
      </c>
      <c r="H64" s="9" t="str">
        <f>"560,00"</f>
        <v>560,00</v>
      </c>
      <c r="I64" s="14">
        <v>2023</v>
      </c>
      <c r="J64" s="17">
        <v>45012</v>
      </c>
      <c r="K64" s="17">
        <v>45077</v>
      </c>
      <c r="L64" s="14" t="str">
        <f>""</f>
        <v/>
      </c>
      <c r="M64" s="14"/>
      <c r="N64" s="15" t="s">
        <v>137</v>
      </c>
    </row>
    <row r="65" spans="1:14" s="6" customFormat="1" ht="45" x14ac:dyDescent="0.25">
      <c r="A65" s="13" t="str">
        <f>"docenza corso EX REC 01/2023 - Merceologia alimentare"</f>
        <v>docenza corso EX REC 01/2023 - Merceologia alimentare</v>
      </c>
      <c r="B65" s="14" t="s">
        <v>15</v>
      </c>
      <c r="C65" s="14" t="s">
        <v>16</v>
      </c>
      <c r="D65" s="13" t="str">
        <f t="shared" si="3"/>
        <v>23-AFFIDAMENTO DIRETTO</v>
      </c>
      <c r="E65" s="14" t="str">
        <f t="shared" si="6"/>
        <v>0000000000</v>
      </c>
      <c r="F65" s="13" t="str">
        <f>"INVERSI FILIPPO, 11340141008"</f>
        <v>INVERSI FILIPPO, 11340141008</v>
      </c>
      <c r="G65" s="13" t="str">
        <f>"INVERSI FILIPPO, 11340141008"</f>
        <v>INVERSI FILIPPO, 11340141008</v>
      </c>
      <c r="H65" s="9" t="str">
        <f>"910,00"</f>
        <v>910,00</v>
      </c>
      <c r="I65" s="14">
        <v>2023</v>
      </c>
      <c r="J65" s="17">
        <v>45012</v>
      </c>
      <c r="K65" s="17">
        <v>45077</v>
      </c>
      <c r="L65" s="14" t="str">
        <f>""</f>
        <v/>
      </c>
      <c r="M65" s="14"/>
      <c r="N65" s="15" t="s">
        <v>138</v>
      </c>
    </row>
    <row r="66" spans="1:14" s="6" customFormat="1" ht="60" x14ac:dyDescent="0.25">
      <c r="A66" s="13" t="s">
        <v>139</v>
      </c>
      <c r="B66" s="14" t="s">
        <v>15</v>
      </c>
      <c r="C66" s="14" t="s">
        <v>16</v>
      </c>
      <c r="D66" s="13" t="str">
        <f t="shared" si="3"/>
        <v>23-AFFIDAMENTO DIRETTO</v>
      </c>
      <c r="E66" s="14" t="str">
        <f t="shared" si="6"/>
        <v>0000000000</v>
      </c>
      <c r="F66" s="13" t="str">
        <f>"Leonardi Elisa Maria, 16132801008"</f>
        <v>Leonardi Elisa Maria, 16132801008</v>
      </c>
      <c r="G66" s="13" t="str">
        <f>"Leonardi Elisa Maria, 16132801008"</f>
        <v>Leonardi Elisa Maria, 16132801008</v>
      </c>
      <c r="H66" s="9" t="str">
        <f>"655,20"</f>
        <v>655,20</v>
      </c>
      <c r="I66" s="14">
        <v>2023</v>
      </c>
      <c r="J66" s="17">
        <v>45012</v>
      </c>
      <c r="K66" s="17">
        <v>45077</v>
      </c>
      <c r="L66" s="14" t="s">
        <v>296</v>
      </c>
      <c r="M66" s="22">
        <v>45056</v>
      </c>
      <c r="N66" s="15" t="s">
        <v>140</v>
      </c>
    </row>
    <row r="67" spans="1:14" s="6" customFormat="1" ht="45" x14ac:dyDescent="0.25">
      <c r="A67" s="13" t="str">
        <f>"docenza corso EX REC 01/2023 - Legislazione del commercio"</f>
        <v>docenza corso EX REC 01/2023 - Legislazione del commercio</v>
      </c>
      <c r="B67" s="14" t="s">
        <v>15</v>
      </c>
      <c r="C67" s="14" t="s">
        <v>16</v>
      </c>
      <c r="D67" s="13" t="str">
        <f t="shared" si="3"/>
        <v>23-AFFIDAMENTO DIRETTO</v>
      </c>
      <c r="E67" s="14" t="str">
        <f t="shared" si="6"/>
        <v>0000000000</v>
      </c>
      <c r="F67" s="13" t="str">
        <f>"LOZZI FLAVIA, 06970671001"</f>
        <v>LOZZI FLAVIA, 06970671001</v>
      </c>
      <c r="G67" s="13" t="str">
        <f>"LOZZI FLAVIA, 06970671001"</f>
        <v>LOZZI FLAVIA, 06970671001</v>
      </c>
      <c r="H67" s="9" t="str">
        <f>"630,00"</f>
        <v>630,00</v>
      </c>
      <c r="I67" s="14">
        <v>2023</v>
      </c>
      <c r="J67" s="17">
        <v>45012</v>
      </c>
      <c r="K67" s="17">
        <v>45077</v>
      </c>
      <c r="L67" s="14" t="str">
        <f>""</f>
        <v/>
      </c>
      <c r="M67" s="14"/>
      <c r="N67" s="15" t="s">
        <v>141</v>
      </c>
    </row>
    <row r="68" spans="1:14" s="6" customFormat="1" ht="60" x14ac:dyDescent="0.25">
      <c r="A68" s="13" t="str">
        <f>"docenza corso EX REC 01/2023 - Diritto Commerciale e amministrazione aziendale"</f>
        <v>docenza corso EX REC 01/2023 - Diritto Commerciale e amministrazione aziendale</v>
      </c>
      <c r="B68" s="14" t="s">
        <v>15</v>
      </c>
      <c r="C68" s="14" t="s">
        <v>16</v>
      </c>
      <c r="D68" s="13" t="str">
        <f t="shared" si="3"/>
        <v>23-AFFIDAMENTO DIRETTO</v>
      </c>
      <c r="E68" s="14" t="str">
        <f t="shared" si="6"/>
        <v>0000000000</v>
      </c>
      <c r="F68" s="13" t="str">
        <f>"CLEMENZI FEDERICO, 08865531001"</f>
        <v>CLEMENZI FEDERICO, 08865531001</v>
      </c>
      <c r="G68" s="13" t="str">
        <f>"CLEMENZI FEDERICO, 08865531001"</f>
        <v>CLEMENZI FEDERICO, 08865531001</v>
      </c>
      <c r="H68" s="9" t="str">
        <f>"584,40"</f>
        <v>584,40</v>
      </c>
      <c r="I68" s="14">
        <v>2023</v>
      </c>
      <c r="J68" s="17">
        <v>45012</v>
      </c>
      <c r="K68" s="17">
        <v>45077</v>
      </c>
      <c r="L68" s="14" t="s">
        <v>314</v>
      </c>
      <c r="M68" s="22">
        <v>45090</v>
      </c>
      <c r="N68" s="15" t="s">
        <v>142</v>
      </c>
    </row>
    <row r="69" spans="1:14" s="6" customFormat="1" ht="45" x14ac:dyDescent="0.25">
      <c r="A69" s="13" t="str">
        <f>"docenza corso EX REC 01/2023 - Legislazione sociale e penale"</f>
        <v>docenza corso EX REC 01/2023 - Legislazione sociale e penale</v>
      </c>
      <c r="B69" s="14" t="s">
        <v>15</v>
      </c>
      <c r="C69" s="14" t="s">
        <v>16</v>
      </c>
      <c r="D69" s="13" t="str">
        <f t="shared" si="3"/>
        <v>23-AFFIDAMENTO DIRETTO</v>
      </c>
      <c r="E69" s="14" t="str">
        <f t="shared" si="6"/>
        <v>0000000000</v>
      </c>
      <c r="F69" s="13" t="str">
        <f>"D'Agostino Antonio Giuseppe, 10831110589"</f>
        <v>D'Agostino Antonio Giuseppe, 10831110589</v>
      </c>
      <c r="G69" s="13" t="str">
        <f>"D'Agostino Antonio Giuseppe, 10831110589"</f>
        <v>D'Agostino Antonio Giuseppe, 10831110589</v>
      </c>
      <c r="H69" s="9" t="str">
        <f>"560,00"</f>
        <v>560,00</v>
      </c>
      <c r="I69" s="14">
        <v>2023</v>
      </c>
      <c r="J69" s="17">
        <v>45012</v>
      </c>
      <c r="K69" s="17">
        <v>45077</v>
      </c>
      <c r="L69" s="14" t="str">
        <f>""</f>
        <v/>
      </c>
      <c r="M69" s="14"/>
      <c r="N69" s="15" t="s">
        <v>143</v>
      </c>
    </row>
    <row r="70" spans="1:14" s="6" customFormat="1" ht="45" x14ac:dyDescent="0.25">
      <c r="A70" s="13" t="str">
        <f>"docenza corso EX REC 01/2023 - Tecniche di vendita”."</f>
        <v>docenza corso EX REC 01/2023 - Tecniche di vendita”.</v>
      </c>
      <c r="B70" s="14" t="s">
        <v>15</v>
      </c>
      <c r="C70" s="14" t="s">
        <v>16</v>
      </c>
      <c r="D70" s="13" t="str">
        <f t="shared" si="3"/>
        <v>23-AFFIDAMENTO DIRETTO</v>
      </c>
      <c r="E70" s="14" t="str">
        <f t="shared" si="6"/>
        <v>0000000000</v>
      </c>
      <c r="F70" s="13" t="str">
        <f>"Placidi Osvaldo, 10487991001"</f>
        <v>Placidi Osvaldo, 10487991001</v>
      </c>
      <c r="G70" s="13" t="str">
        <f>"Placidi Osvaldo, 10487991001"</f>
        <v>Placidi Osvaldo, 10487991001</v>
      </c>
      <c r="H70" s="9" t="str">
        <f>"350,00"</f>
        <v>350,00</v>
      </c>
      <c r="I70" s="14">
        <v>2023</v>
      </c>
      <c r="J70" s="17">
        <v>45012</v>
      </c>
      <c r="K70" s="17">
        <v>45077</v>
      </c>
      <c r="L70" s="14" t="str">
        <f>""</f>
        <v/>
      </c>
      <c r="M70" s="14"/>
      <c r="N70" s="15" t="s">
        <v>144</v>
      </c>
    </row>
    <row r="71" spans="1:14" s="6" customFormat="1" ht="75" x14ac:dyDescent="0.25">
      <c r="A71" s="13" t="str">
        <f>"percorso avanzato di Unioncamere per le competenze e l'innovazione nella filiera agricola e agroalimentare"</f>
        <v>percorso avanzato di Unioncamere per le competenze e l'innovazione nella filiera agricola e agroalimentare</v>
      </c>
      <c r="B71" s="14" t="s">
        <v>15</v>
      </c>
      <c r="C71" s="14" t="s">
        <v>16</v>
      </c>
      <c r="D71" s="13" t="str">
        <f t="shared" si="3"/>
        <v>23-AFFIDAMENTO DIRETTO</v>
      </c>
      <c r="E71" s="14" t="str">
        <f>"Z6E3AB2EC8"</f>
        <v>Z6E3AB2EC8</v>
      </c>
      <c r="F71" s="13" t="str">
        <f>"Dintec Consorzio per l'Innovazione e la Tecnologia Scrl, 04338251004"</f>
        <v>Dintec Consorzio per l'Innovazione e la Tecnologia Scrl, 04338251004</v>
      </c>
      <c r="G71" s="13" t="str">
        <f>"Dintec Consorzio per l'Innovazione e la Tecnologia Scrl, 04338251004"</f>
        <v>Dintec Consorzio per l'Innovazione e la Tecnologia Scrl, 04338251004</v>
      </c>
      <c r="H71" s="9" t="str">
        <f>"5089,00"</f>
        <v>5089,00</v>
      </c>
      <c r="I71" s="14">
        <v>2023</v>
      </c>
      <c r="J71" s="17">
        <v>45022</v>
      </c>
      <c r="K71" s="17">
        <v>45291</v>
      </c>
      <c r="L71" s="14" t="str">
        <f>""</f>
        <v/>
      </c>
      <c r="M71" s="14"/>
      <c r="N71" s="15" t="s">
        <v>145</v>
      </c>
    </row>
    <row r="72" spans="1:14" s="6" customFormat="1" ht="60" x14ac:dyDescent="0.25">
      <c r="A72" s="13" t="s">
        <v>146</v>
      </c>
      <c r="B72" s="14" t="s">
        <v>15</v>
      </c>
      <c r="C72" s="14" t="s">
        <v>16</v>
      </c>
      <c r="D72" s="13" t="str">
        <f>"04-PROCEDURA NEGOZIATA SENZA PREVIA PUBBLICAZIONE"</f>
        <v>04-PROCEDURA NEGOZIATA SENZA PREVIA PUBBLICAZIONE</v>
      </c>
      <c r="E72" s="14" t="str">
        <f>"ZF63A7F4AO"</f>
        <v>ZF63A7F4AO</v>
      </c>
      <c r="F72" s="13" t="str">
        <f>"MMG FORMAZIONE SRL, 11733641002"</f>
        <v>MMG FORMAZIONE SRL, 11733641002</v>
      </c>
      <c r="G72" s="13" t="str">
        <f>"MMG FORMAZIONE SRL, 11733641002"</f>
        <v>MMG FORMAZIONE SRL, 11733641002</v>
      </c>
      <c r="H72" s="9" t="str">
        <f>"9950,00"</f>
        <v>9950,00</v>
      </c>
      <c r="I72" s="14">
        <v>2023</v>
      </c>
      <c r="J72" s="17">
        <v>45035</v>
      </c>
      <c r="K72" s="17">
        <v>45077</v>
      </c>
      <c r="L72" s="14" t="str">
        <f>""</f>
        <v/>
      </c>
      <c r="M72" s="14"/>
      <c r="N72" s="15" t="s">
        <v>147</v>
      </c>
    </row>
    <row r="73" spans="1:14" s="7" customFormat="1" ht="30" x14ac:dyDescent="0.25">
      <c r="A73" s="18" t="str">
        <f>"materiale di cancelleria"</f>
        <v>materiale di cancelleria</v>
      </c>
      <c r="B73" s="19" t="s">
        <v>15</v>
      </c>
      <c r="C73" s="24" t="s">
        <v>16</v>
      </c>
      <c r="D73" s="18" t="str">
        <f t="shared" ref="D73:D75" si="7">"23-AFFIDAMENTO DIRETTO"</f>
        <v>23-AFFIDAMENTO DIRETTO</v>
      </c>
      <c r="E73" s="19" t="s">
        <v>288</v>
      </c>
      <c r="F73" s="18" t="str">
        <f>"ERREBIAN SPA, 02044501001"</f>
        <v>ERREBIAN SPA, 02044501001</v>
      </c>
      <c r="G73" s="18" t="str">
        <f>"ERREBIAN SPA, 02044501001"</f>
        <v>ERREBIAN SPA, 02044501001</v>
      </c>
      <c r="H73" s="9" t="str">
        <f>"430,36"</f>
        <v>430,36</v>
      </c>
      <c r="I73" s="19">
        <v>2023</v>
      </c>
      <c r="J73" s="20">
        <v>45006</v>
      </c>
      <c r="K73" s="20">
        <v>45029</v>
      </c>
      <c r="L73" s="19" t="s">
        <v>289</v>
      </c>
      <c r="M73" s="25">
        <v>45020</v>
      </c>
      <c r="N73" s="19" t="s">
        <v>181</v>
      </c>
    </row>
    <row r="74" spans="1:14" s="6" customFormat="1" ht="30" x14ac:dyDescent="0.25">
      <c r="A74" s="13" t="str">
        <f>"licenza veeam aprile 2023-aprile 2024"</f>
        <v>licenza veeam aprile 2023-aprile 2024</v>
      </c>
      <c r="B74" s="14" t="s">
        <v>15</v>
      </c>
      <c r="C74" s="14" t="s">
        <v>16</v>
      </c>
      <c r="D74" s="13" t="str">
        <f>"23-AFFIDAMENTO DIRETTO"</f>
        <v>23-AFFIDAMENTO DIRETTO</v>
      </c>
      <c r="E74" s="14" t="str">
        <f>"Z5D3AC2E06"</f>
        <v>Z5D3AC2E06</v>
      </c>
      <c r="F74" s="13" t="str">
        <f>"R1 S.p.A., 05231661009"</f>
        <v>R1 S.p.A., 05231661009</v>
      </c>
      <c r="G74" s="13" t="str">
        <f>"R1 S.p.A., 05231661009"</f>
        <v>R1 S.p.A., 05231661009</v>
      </c>
      <c r="H74" s="9" t="str">
        <f>"355,00"</f>
        <v>355,00</v>
      </c>
      <c r="I74" s="14">
        <v>2023</v>
      </c>
      <c r="J74" s="17">
        <v>45029</v>
      </c>
      <c r="K74" s="17">
        <v>45395</v>
      </c>
      <c r="L74" s="14" t="s">
        <v>316</v>
      </c>
      <c r="M74" s="22">
        <v>45090</v>
      </c>
      <c r="N74" s="15" t="s">
        <v>148</v>
      </c>
    </row>
    <row r="75" spans="1:14" s="7" customFormat="1" ht="30" x14ac:dyDescent="0.25">
      <c r="A75" s="18" t="str">
        <f>"materiale di cancelleria"</f>
        <v>materiale di cancelleria</v>
      </c>
      <c r="B75" s="19" t="s">
        <v>15</v>
      </c>
      <c r="C75" s="24" t="s">
        <v>16</v>
      </c>
      <c r="D75" s="18" t="str">
        <f t="shared" si="7"/>
        <v>23-AFFIDAMENTO DIRETTO</v>
      </c>
      <c r="E75" s="19" t="s">
        <v>304</v>
      </c>
      <c r="F75" s="18" t="str">
        <f>"ERREBIAN SPA, 02044501001"</f>
        <v>ERREBIAN SPA, 02044501001</v>
      </c>
      <c r="G75" s="18" t="str">
        <f>"ERREBIAN SPA, 02044501001"</f>
        <v>ERREBIAN SPA, 02044501001</v>
      </c>
      <c r="H75" s="9" t="str">
        <f>"855,00"</f>
        <v>855,00</v>
      </c>
      <c r="I75" s="19">
        <v>2023</v>
      </c>
      <c r="J75" s="20">
        <v>45029</v>
      </c>
      <c r="K75" s="20">
        <v>45029</v>
      </c>
      <c r="L75" s="19" t="s">
        <v>305</v>
      </c>
      <c r="M75" s="25">
        <v>45077</v>
      </c>
      <c r="N75" s="19" t="s">
        <v>182</v>
      </c>
    </row>
    <row r="76" spans="1:14" s="6" customFormat="1" x14ac:dyDescent="0.25">
      <c r="A76" s="13" t="str">
        <f>"licenza anydesk"</f>
        <v>licenza anydesk</v>
      </c>
      <c r="B76" s="14" t="s">
        <v>15</v>
      </c>
      <c r="C76" s="14" t="s">
        <v>16</v>
      </c>
      <c r="D76" s="13" t="str">
        <f>"23-AFFIDAMENTO DIRETTO"</f>
        <v>23-AFFIDAMENTO DIRETTO</v>
      </c>
      <c r="E76" s="14" t="str">
        <f>"Z5D3AC38CF"</f>
        <v>Z5D3AC38CF</v>
      </c>
      <c r="F76" s="13" t="str">
        <f>"R1 S.p.A., 05231661009"</f>
        <v>R1 S.p.A., 05231661009</v>
      </c>
      <c r="G76" s="13" t="str">
        <f>"R1 S.p.A., 05231661009"</f>
        <v>R1 S.p.A., 05231661009</v>
      </c>
      <c r="H76" s="9" t="str">
        <f>"178,80"</f>
        <v>178,80</v>
      </c>
      <c r="I76" s="14">
        <v>2023</v>
      </c>
      <c r="J76" s="17">
        <v>45033</v>
      </c>
      <c r="K76" s="17">
        <v>45399</v>
      </c>
      <c r="L76" s="14" t="str">
        <f>""</f>
        <v/>
      </c>
      <c r="M76" s="14"/>
      <c r="N76" s="15" t="s">
        <v>149</v>
      </c>
    </row>
    <row r="77" spans="1:14" s="6" customFormat="1" ht="30" x14ac:dyDescent="0.25">
      <c r="A77" s="13" t="s">
        <v>198</v>
      </c>
      <c r="B77" s="14" t="s">
        <v>15</v>
      </c>
      <c r="C77" s="14" t="s">
        <v>16</v>
      </c>
      <c r="D77" s="13" t="str">
        <f t="shared" ref="D77:D78" si="8">"23-AFFIDAMENTO DIRETTO"</f>
        <v>23-AFFIDAMENTO DIRETTO</v>
      </c>
      <c r="E77" s="14" t="str">
        <f t="shared" ref="E77:E78" si="9">"Z5D3AC38CF"</f>
        <v>Z5D3AC38CF</v>
      </c>
      <c r="F77" s="13" t="s">
        <v>203</v>
      </c>
      <c r="G77" s="13" t="s">
        <v>203</v>
      </c>
      <c r="H77" s="9" t="str">
        <f>"3125,80"</f>
        <v>3125,80</v>
      </c>
      <c r="I77" s="14">
        <v>2023</v>
      </c>
      <c r="J77" s="17">
        <v>45021</v>
      </c>
      <c r="K77" s="17">
        <v>45291</v>
      </c>
      <c r="L77" s="14" t="s">
        <v>322</v>
      </c>
      <c r="M77" s="22">
        <v>44956</v>
      </c>
      <c r="N77" s="15" t="s">
        <v>183</v>
      </c>
    </row>
    <row r="78" spans="1:14" s="6" customFormat="1" ht="45" x14ac:dyDescent="0.25">
      <c r="A78" s="13" t="s">
        <v>199</v>
      </c>
      <c r="B78" s="14" t="s">
        <v>15</v>
      </c>
      <c r="C78" s="14" t="s">
        <v>16</v>
      </c>
      <c r="D78" s="13" t="str">
        <f t="shared" si="8"/>
        <v>23-AFFIDAMENTO DIRETTO</v>
      </c>
      <c r="E78" s="14" t="str">
        <f t="shared" si="9"/>
        <v>Z5D3AC38CF</v>
      </c>
      <c r="F78" s="13" t="s">
        <v>202</v>
      </c>
      <c r="G78" s="13" t="s">
        <v>202</v>
      </c>
      <c r="H78" s="9" t="str">
        <f>"3050,000"</f>
        <v>3050,000</v>
      </c>
      <c r="I78" s="14">
        <v>2023</v>
      </c>
      <c r="J78" s="17">
        <v>45021</v>
      </c>
      <c r="K78" s="17">
        <v>45291</v>
      </c>
      <c r="L78" s="14" t="s">
        <v>323</v>
      </c>
      <c r="M78" s="22">
        <v>44956</v>
      </c>
      <c r="N78" s="15" t="s">
        <v>184</v>
      </c>
    </row>
    <row r="79" spans="1:14" s="6" customFormat="1" ht="45" x14ac:dyDescent="0.25">
      <c r="A79" s="13" t="s">
        <v>199</v>
      </c>
      <c r="B79" s="14" t="s">
        <v>15</v>
      </c>
      <c r="C79" s="14" t="s">
        <v>16</v>
      </c>
      <c r="D79" s="13" t="str">
        <f>"23-AFFIDAMENTO DIRETTO"</f>
        <v>23-AFFIDAMENTO DIRETTO</v>
      </c>
      <c r="E79" s="14" t="str">
        <f>"0000000000"</f>
        <v>0000000000</v>
      </c>
      <c r="F79" s="13" t="str">
        <f>"Nikolli Rovena, NKLRVN89T54Z100A"</f>
        <v>Nikolli Rovena, NKLRVN89T54Z100A</v>
      </c>
      <c r="G79" s="13" t="str">
        <f>"Nikolli Rovena, NKLRVN89T54Z100A"</f>
        <v>Nikolli Rovena, NKLRVN89T54Z100A</v>
      </c>
      <c r="H79" s="9" t="str">
        <f>"6005,30"</f>
        <v>6005,30</v>
      </c>
      <c r="I79" s="14">
        <v>2023</v>
      </c>
      <c r="J79" s="17">
        <v>45034</v>
      </c>
      <c r="K79" s="17">
        <v>45138</v>
      </c>
      <c r="L79" s="14" t="s">
        <v>293</v>
      </c>
      <c r="M79" s="22">
        <v>45056</v>
      </c>
      <c r="N79" s="15" t="s">
        <v>150</v>
      </c>
    </row>
    <row r="80" spans="1:14" s="6" customFormat="1" ht="30" x14ac:dyDescent="0.25">
      <c r="A80" s="13" t="str">
        <f>"cancelleria"</f>
        <v>cancelleria</v>
      </c>
      <c r="B80" s="14" t="s">
        <v>15</v>
      </c>
      <c r="C80" s="14" t="s">
        <v>16</v>
      </c>
      <c r="D80" s="13" t="str">
        <f t="shared" ref="D80:D81" si="10">"23-AFFIDAMENTO DIRETTO"</f>
        <v>23-AFFIDAMENTO DIRETTO</v>
      </c>
      <c r="E80" s="14" t="str">
        <f>"Z7A3AC33E1"</f>
        <v>Z7A3AC33E1</v>
      </c>
      <c r="F80" s="13" t="str">
        <f>"MONDOFFICE SRL, 07491520156"</f>
        <v>MONDOFFICE SRL, 07491520156</v>
      </c>
      <c r="G80" s="13" t="str">
        <f>"MONDOFFICE SRL, 07491520156"</f>
        <v>MONDOFFICE SRL, 07491520156</v>
      </c>
      <c r="H80" s="9" t="str">
        <f>"441,44"</f>
        <v>441,44</v>
      </c>
      <c r="I80" s="14">
        <v>2023</v>
      </c>
      <c r="J80" s="17">
        <v>45029</v>
      </c>
      <c r="K80" s="17">
        <v>45040</v>
      </c>
      <c r="L80" s="14" t="s">
        <v>303</v>
      </c>
      <c r="M80" s="22">
        <v>45077</v>
      </c>
      <c r="N80" s="15" t="s">
        <v>185</v>
      </c>
    </row>
    <row r="81" spans="1:15" s="6" customFormat="1" ht="75" x14ac:dyDescent="0.25">
      <c r="A81" s="13" t="s">
        <v>100</v>
      </c>
      <c r="B81" s="14" t="s">
        <v>15</v>
      </c>
      <c r="C81" s="14" t="s">
        <v>16</v>
      </c>
      <c r="D81" s="13" t="str">
        <f t="shared" si="10"/>
        <v>23-AFFIDAMENTO DIRETTO</v>
      </c>
      <c r="E81" s="14" t="str">
        <f>"0000000000"</f>
        <v>0000000000</v>
      </c>
      <c r="F81" s="13" t="s">
        <v>46</v>
      </c>
      <c r="G81" s="13" t="s">
        <v>46</v>
      </c>
      <c r="H81" s="9" t="str">
        <f>"1600,00"</f>
        <v>1600,00</v>
      </c>
      <c r="I81" s="14">
        <v>2023</v>
      </c>
      <c r="J81" s="17">
        <v>45047</v>
      </c>
      <c r="K81" s="17">
        <v>45107</v>
      </c>
      <c r="L81" s="14"/>
      <c r="M81" s="22"/>
      <c r="N81" s="15" t="s">
        <v>186</v>
      </c>
    </row>
    <row r="82" spans="1:15" s="6" customFormat="1" ht="45" x14ac:dyDescent="0.25">
      <c r="A82" s="13" t="str">
        <f>"Progetto Garanzia Occupabilità Lavoratori - orientamento"</f>
        <v>Progetto Garanzia Occupabilità Lavoratori - orientamento</v>
      </c>
      <c r="B82" s="14" t="s">
        <v>15</v>
      </c>
      <c r="C82" s="14" t="s">
        <v>16</v>
      </c>
      <c r="D82" s="13" t="str">
        <f>"23-AFFIDAMENTO DIRETTO"</f>
        <v>23-AFFIDAMENTO DIRETTO</v>
      </c>
      <c r="E82" s="14" t="str">
        <f>"0000000000"</f>
        <v>0000000000</v>
      </c>
      <c r="F82" s="13" t="str">
        <f>"Coco Daiana, 17012251009"</f>
        <v>Coco Daiana, 17012251009</v>
      </c>
      <c r="G82" s="13" t="str">
        <f>"Coco Daiana, 17012251009"</f>
        <v>Coco Daiana, 17012251009</v>
      </c>
      <c r="H82" s="9" t="str">
        <f>"6527,50"</f>
        <v>6527,50</v>
      </c>
      <c r="I82" s="14">
        <v>2023</v>
      </c>
      <c r="J82" s="17">
        <v>45054</v>
      </c>
      <c r="K82" s="17">
        <v>45138</v>
      </c>
      <c r="L82" s="14" t="str">
        <f>""</f>
        <v/>
      </c>
      <c r="M82" s="14"/>
      <c r="N82" s="15" t="s">
        <v>151</v>
      </c>
    </row>
    <row r="83" spans="1:15" s="6" customFormat="1" ht="45" x14ac:dyDescent="0.25">
      <c r="A83" s="13" t="s">
        <v>200</v>
      </c>
      <c r="B83" s="14" t="s">
        <v>15</v>
      </c>
      <c r="C83" s="14" t="s">
        <v>16</v>
      </c>
      <c r="D83" s="13" t="str">
        <f>"23-AFFIDAMENTO DIRETTO"</f>
        <v>23-AFFIDAMENTO DIRETTO</v>
      </c>
      <c r="E83" s="14" t="str">
        <f>"0000000000"</f>
        <v>0000000000</v>
      </c>
      <c r="F83" s="13" t="s">
        <v>201</v>
      </c>
      <c r="G83" s="13" t="s">
        <v>201</v>
      </c>
      <c r="H83" s="9" t="str">
        <f>"8000,000"</f>
        <v>8000,000</v>
      </c>
      <c r="I83" s="14">
        <v>2023</v>
      </c>
      <c r="J83" s="17">
        <v>45054</v>
      </c>
      <c r="K83" s="17">
        <v>45280</v>
      </c>
      <c r="L83" s="14" t="s">
        <v>324</v>
      </c>
      <c r="M83" s="22">
        <v>45090</v>
      </c>
      <c r="N83" s="15" t="s">
        <v>187</v>
      </c>
    </row>
    <row r="84" spans="1:15" s="28" customFormat="1" ht="75" x14ac:dyDescent="0.25">
      <c r="A84" s="13" t="s">
        <v>100</v>
      </c>
      <c r="B84" s="14" t="s">
        <v>15</v>
      </c>
      <c r="C84" s="14" t="s">
        <v>16</v>
      </c>
      <c r="D84" s="13" t="s">
        <v>336</v>
      </c>
      <c r="E84" s="14" t="s">
        <v>21</v>
      </c>
      <c r="F84" s="8" t="s">
        <v>44</v>
      </c>
      <c r="G84" s="8" t="s">
        <v>44</v>
      </c>
      <c r="H84" s="9" t="s">
        <v>337</v>
      </c>
      <c r="I84" s="14">
        <v>2023</v>
      </c>
      <c r="J84" s="17">
        <v>45047</v>
      </c>
      <c r="K84" s="17">
        <v>45107</v>
      </c>
      <c r="L84" s="27"/>
      <c r="M84" s="27"/>
      <c r="N84" s="30" t="s">
        <v>189</v>
      </c>
    </row>
    <row r="85" spans="1:15" s="6" customFormat="1" ht="45" x14ac:dyDescent="0.25">
      <c r="A85" s="13" t="str">
        <f>"piattaforma pubblicazione e fruizione contenuti audiovisivi"</f>
        <v>piattaforma pubblicazione e fruizione contenuti audiovisivi</v>
      </c>
      <c r="B85" s="14" t="s">
        <v>15</v>
      </c>
      <c r="C85" s="14" t="s">
        <v>16</v>
      </c>
      <c r="D85" s="13" t="str">
        <f>"04-PROCEDURA NEGOZIATA SENZA PREVIA PUBBLICAZIONE"</f>
        <v>04-PROCEDURA NEGOZIATA SENZA PREVIA PUBBLICAZIONE</v>
      </c>
      <c r="E85" s="14" t="str">
        <f>"ZA43B02B33"</f>
        <v>ZA43B02B33</v>
      </c>
      <c r="F85" s="13" t="str">
        <f>"ATLAS srl, 01972120669"</f>
        <v>ATLAS srl, 01972120669</v>
      </c>
      <c r="G85" s="13" t="str">
        <f>"ATLAS srl, 01972120669"</f>
        <v>ATLAS srl, 01972120669</v>
      </c>
      <c r="H85" s="9" t="str">
        <f>"6600,00"</f>
        <v>6600,00</v>
      </c>
      <c r="I85" s="14">
        <v>2023</v>
      </c>
      <c r="J85" s="17">
        <v>45068</v>
      </c>
      <c r="K85" s="17">
        <v>45107</v>
      </c>
      <c r="L85" s="14" t="str">
        <f>""</f>
        <v/>
      </c>
      <c r="M85" s="14"/>
      <c r="N85" s="15" t="s">
        <v>152</v>
      </c>
    </row>
    <row r="86" spans="1:15" s="6" customFormat="1" ht="75" x14ac:dyDescent="0.25">
      <c r="A86" s="13" t="str">
        <f>"percorso formativo “Le novità del nuovo codice degli appalti” con approfondimento sul tema del public management"</f>
        <v>percorso formativo “Le novità del nuovo codice degli appalti” con approfondimento sul tema del public management</v>
      </c>
      <c r="B86" s="14" t="s">
        <v>15</v>
      </c>
      <c r="C86" s="14" t="s">
        <v>16</v>
      </c>
      <c r="D86" s="13" t="str">
        <f>"04-PROCEDURA NEGOZIATA SENZA PREVIA PUBBLICAZIONE"</f>
        <v>04-PROCEDURA NEGOZIATA SENZA PREVIA PUBBLICAZIONE</v>
      </c>
      <c r="E86" s="14" t="str">
        <f>"Z9793B02C9"</f>
        <v>Z9793B02C9</v>
      </c>
      <c r="F86" s="13" t="s">
        <v>259</v>
      </c>
      <c r="G86" s="13" t="s">
        <v>259</v>
      </c>
      <c r="H86" s="9" t="str">
        <f>"12880,00"</f>
        <v>12880,00</v>
      </c>
      <c r="I86" s="14">
        <v>2023</v>
      </c>
      <c r="J86" s="17">
        <v>45071</v>
      </c>
      <c r="K86" s="17">
        <v>45107</v>
      </c>
      <c r="L86" s="14" t="str">
        <f>""</f>
        <v/>
      </c>
      <c r="M86" s="14"/>
      <c r="N86" s="15" t="s">
        <v>153</v>
      </c>
    </row>
    <row r="87" spans="1:15" s="7" customFormat="1" ht="75" x14ac:dyDescent="0.25">
      <c r="A87" s="13" t="s">
        <v>100</v>
      </c>
      <c r="B87" s="14" t="s">
        <v>15</v>
      </c>
      <c r="C87" s="14" t="s">
        <v>16</v>
      </c>
      <c r="D87" s="13" t="s">
        <v>336</v>
      </c>
      <c r="E87" s="14" t="s">
        <v>21</v>
      </c>
      <c r="F87" s="29" t="s">
        <v>42</v>
      </c>
      <c r="G87" s="29" t="s">
        <v>42</v>
      </c>
      <c r="H87" s="9" t="s">
        <v>337</v>
      </c>
      <c r="I87" s="14">
        <v>2023</v>
      </c>
      <c r="J87" s="17">
        <v>45047</v>
      </c>
      <c r="K87" s="17">
        <v>45107</v>
      </c>
      <c r="L87" s="14"/>
      <c r="M87" s="14"/>
      <c r="N87" s="15" t="s">
        <v>188</v>
      </c>
      <c r="O87" s="6"/>
    </row>
    <row r="88" spans="1:15" s="6" customFormat="1" ht="30" x14ac:dyDescent="0.25">
      <c r="A88" s="13" t="str">
        <f>"docenza corso HACCP 01.2023"</f>
        <v>docenza corso HACCP 01.2023</v>
      </c>
      <c r="B88" s="14" t="s">
        <v>15</v>
      </c>
      <c r="C88" s="14" t="s">
        <v>16</v>
      </c>
      <c r="D88" s="13" t="str">
        <f>"23-AFFIDAMENTO DIRETTO"</f>
        <v>23-AFFIDAMENTO DIRETTO</v>
      </c>
      <c r="E88" s="14" t="str">
        <f>"Z843AF2B7F"</f>
        <v>Z843AF2B7F</v>
      </c>
      <c r="F88" s="13" t="str">
        <f>"CNA CAF LAZIO SRL, 04498881004"</f>
        <v>CNA CAF LAZIO SRL, 04498881004</v>
      </c>
      <c r="G88" s="13" t="str">
        <f>"CNA CAF LAZIO SRL, 04498881004"</f>
        <v>CNA CAF LAZIO SRL, 04498881004</v>
      </c>
      <c r="H88" s="9" t="str">
        <f>"740,00"</f>
        <v>740,00</v>
      </c>
      <c r="I88" s="14">
        <v>2023</v>
      </c>
      <c r="J88" s="17">
        <v>45055</v>
      </c>
      <c r="K88" s="17">
        <v>45075</v>
      </c>
      <c r="L88" s="14" t="s">
        <v>285</v>
      </c>
      <c r="M88" s="22">
        <v>45042</v>
      </c>
      <c r="N88" s="15" t="s">
        <v>154</v>
      </c>
    </row>
    <row r="89" spans="1:15" s="6" customFormat="1" ht="30" x14ac:dyDescent="0.25">
      <c r="A89" s="13" t="str">
        <f>"Rinnovo piattaforma acquisti telematici"</f>
        <v>Rinnovo piattaforma acquisti telematici</v>
      </c>
      <c r="B89" s="14" t="s">
        <v>15</v>
      </c>
      <c r="C89" s="14" t="s">
        <v>16</v>
      </c>
      <c r="D89" s="13" t="str">
        <f>"23-AFFIDAMENTO DIRETTO"</f>
        <v>23-AFFIDAMENTO DIRETTO</v>
      </c>
      <c r="E89" s="14" t="str">
        <f>"ZF63B1C591"</f>
        <v>ZF63B1C591</v>
      </c>
      <c r="F89" s="13" t="str">
        <f>"DIGITAL PA SRL, 03553050927"</f>
        <v>DIGITAL PA SRL, 03553050927</v>
      </c>
      <c r="G89" s="13" t="str">
        <f>"DIGITAL PA SRL, 03553050927"</f>
        <v>DIGITAL PA SRL, 03553050927</v>
      </c>
      <c r="H89" s="9" t="str">
        <f>"3632,00"</f>
        <v>3632,00</v>
      </c>
      <c r="I89" s="14">
        <v>2023</v>
      </c>
      <c r="J89" s="17">
        <v>45077</v>
      </c>
      <c r="K89" s="17">
        <v>45443</v>
      </c>
      <c r="L89" s="14" t="str">
        <f>""</f>
        <v/>
      </c>
      <c r="M89" s="14"/>
      <c r="N89" s="15" t="s">
        <v>155</v>
      </c>
    </row>
    <row r="90" spans="1:15" s="6" customFormat="1" ht="30" x14ac:dyDescent="0.25">
      <c r="A90" s="13" t="str">
        <f>"utilizzo aula didattica"</f>
        <v>utilizzo aula didattica</v>
      </c>
      <c r="B90" s="14" t="s">
        <v>15</v>
      </c>
      <c r="C90" s="14" t="s">
        <v>16</v>
      </c>
      <c r="D90" s="13" t="str">
        <f>"23-AFFIDAMENTO DIRETTO"</f>
        <v>23-AFFIDAMENTO DIRETTO</v>
      </c>
      <c r="E90" s="14" t="str">
        <f>"ZDA3B1D58D"</f>
        <v>ZDA3B1D58D</v>
      </c>
      <c r="F90" s="13" t="str">
        <f>"TECNOBORSA SCPA, 05375771002"</f>
        <v>TECNOBORSA SCPA, 05375771002</v>
      </c>
      <c r="G90" s="13" t="str">
        <f>"TECNOBORSA SCPA, 05375771002"</f>
        <v>TECNOBORSA SCPA, 05375771002</v>
      </c>
      <c r="H90" s="9" t="str">
        <f>"1200,00"</f>
        <v>1200,00</v>
      </c>
      <c r="I90" s="14">
        <v>2023</v>
      </c>
      <c r="J90" s="17">
        <v>45054</v>
      </c>
      <c r="K90" s="17">
        <v>45068</v>
      </c>
      <c r="L90" s="14" t="str">
        <f>""</f>
        <v/>
      </c>
      <c r="M90" s="14"/>
      <c r="N90" s="15" t="s">
        <v>156</v>
      </c>
    </row>
    <row r="91" spans="1:15" s="6" customFormat="1" ht="32.25" customHeight="1" x14ac:dyDescent="0.25">
      <c r="A91" s="13" t="s">
        <v>157</v>
      </c>
      <c r="B91" s="14" t="s">
        <v>15</v>
      </c>
      <c r="C91" s="14" t="s">
        <v>16</v>
      </c>
      <c r="D91" s="13" t="str">
        <f>"23-AFFIDAMENTO DIRETTO"</f>
        <v>23-AFFIDAMENTO DIRETTO</v>
      </c>
      <c r="E91" s="14" t="str">
        <f>"ZBD3B43B5A"</f>
        <v>ZBD3B43B5A</v>
      </c>
      <c r="F91" s="13" t="str">
        <f>"ONTHEWAVE SRL, 09448511007"</f>
        <v>ONTHEWAVE SRL, 09448511007</v>
      </c>
      <c r="G91" s="13" t="str">
        <f>"ONTHEWAVE SRL, 09448511007"</f>
        <v>ONTHEWAVE SRL, 09448511007</v>
      </c>
      <c r="H91" s="9" t="str">
        <f>"180,00"</f>
        <v>180,00</v>
      </c>
      <c r="I91" s="14">
        <v>2023</v>
      </c>
      <c r="J91" s="17">
        <v>45069</v>
      </c>
      <c r="K91" s="17">
        <v>45069</v>
      </c>
      <c r="L91" s="14" t="str">
        <f>""</f>
        <v/>
      </c>
      <c r="M91" s="14"/>
      <c r="N91" s="15" t="s">
        <v>158</v>
      </c>
    </row>
    <row r="92" spans="1:15" s="6" customFormat="1" ht="30" x14ac:dyDescent="0.25">
      <c r="A92" s="13" t="str">
        <f>"rinnovo piattaforma zoom"</f>
        <v>rinnovo piattaforma zoom</v>
      </c>
      <c r="B92" s="14" t="s">
        <v>15</v>
      </c>
      <c r="C92" s="14" t="s">
        <v>16</v>
      </c>
      <c r="D92" s="13" t="str">
        <f>"23-AFFIDAMENTO DIRETTO"</f>
        <v>23-AFFIDAMENTO DIRETTO</v>
      </c>
      <c r="E92" s="14" t="str">
        <f>"ZED3B27C73"</f>
        <v>ZED3B27C73</v>
      </c>
      <c r="F92" s="13" t="str">
        <f>"AYNO Videoconfrenze srl, 06237941007"</f>
        <v>AYNO Videoconfrenze srl, 06237941007</v>
      </c>
      <c r="G92" s="13" t="str">
        <f>"AYNO Videoconfrenze srl, 06237941007"</f>
        <v>AYNO Videoconfrenze srl, 06237941007</v>
      </c>
      <c r="H92" s="9" t="str">
        <f>"3505,00"</f>
        <v>3505,00</v>
      </c>
      <c r="I92" s="14">
        <v>2023</v>
      </c>
      <c r="J92" s="17">
        <v>45056</v>
      </c>
      <c r="K92" s="17">
        <v>45421</v>
      </c>
      <c r="L92" s="14"/>
      <c r="M92" s="14"/>
      <c r="N92" s="15" t="s">
        <v>190</v>
      </c>
    </row>
    <row r="93" spans="1:15" s="7" customFormat="1" ht="45" x14ac:dyDescent="0.25">
      <c r="A93" s="18" t="str">
        <f>"Progetto Garanzia Occupabilità Lavoratori - orientamento"</f>
        <v>Progetto Garanzia Occupabilità Lavoratori - orientamento</v>
      </c>
      <c r="B93" s="19" t="s">
        <v>15</v>
      </c>
      <c r="C93" s="19" t="s">
        <v>16</v>
      </c>
      <c r="D93" s="18" t="str">
        <f t="shared" ref="D93:D94" si="11">"23-AFFIDAMENTO DIRETTO"</f>
        <v>23-AFFIDAMENTO DIRETTO</v>
      </c>
      <c r="E93" s="19" t="str">
        <f t="shared" ref="E93" si="12">"0000000000"</f>
        <v>0000000000</v>
      </c>
      <c r="F93" s="18" t="s">
        <v>202</v>
      </c>
      <c r="G93" s="18" t="s">
        <v>202</v>
      </c>
      <c r="H93" s="19" t="str">
        <f>"3394,30"</f>
        <v>3394,30</v>
      </c>
      <c r="I93" s="19">
        <v>2023</v>
      </c>
      <c r="J93" s="20">
        <v>45078</v>
      </c>
      <c r="K93" s="20">
        <v>45199</v>
      </c>
      <c r="L93" s="19"/>
      <c r="M93" s="19"/>
      <c r="N93" s="21" t="s">
        <v>191</v>
      </c>
    </row>
    <row r="94" spans="1:15" s="36" customFormat="1" ht="45" x14ac:dyDescent="0.25">
      <c r="A94" s="31" t="s">
        <v>231</v>
      </c>
      <c r="B94" s="32" t="s">
        <v>15</v>
      </c>
      <c r="C94" s="32" t="s">
        <v>16</v>
      </c>
      <c r="D94" s="31" t="str">
        <f t="shared" si="11"/>
        <v>23-AFFIDAMENTO DIRETTO</v>
      </c>
      <c r="E94" s="39"/>
      <c r="F94" s="31" t="s">
        <v>232</v>
      </c>
      <c r="G94" s="31" t="s">
        <v>232</v>
      </c>
      <c r="H94" s="33" t="str">
        <f>"198,00"</f>
        <v>198,00</v>
      </c>
      <c r="I94" s="32">
        <v>2023</v>
      </c>
      <c r="J94" s="34"/>
      <c r="K94" s="34"/>
      <c r="L94" s="32"/>
      <c r="M94" s="32"/>
      <c r="N94" s="35" t="s">
        <v>192</v>
      </c>
    </row>
    <row r="95" spans="1:15" s="6" customFormat="1" ht="30" x14ac:dyDescent="0.25">
      <c r="A95" s="13" t="s">
        <v>204</v>
      </c>
      <c r="B95" s="14" t="s">
        <v>15</v>
      </c>
      <c r="C95" s="14" t="s">
        <v>16</v>
      </c>
      <c r="D95" s="13" t="str">
        <f>"23-AFFIDAMENTO DIRETTO"</f>
        <v>23-AFFIDAMENTO DIRETTO</v>
      </c>
      <c r="E95" s="14"/>
      <c r="F95" s="13" t="s">
        <v>205</v>
      </c>
      <c r="G95" s="13" t="s">
        <v>205</v>
      </c>
      <c r="H95" s="9" t="str">
        <f>"39,47"</f>
        <v>39,47</v>
      </c>
      <c r="I95" s="14">
        <v>2023</v>
      </c>
      <c r="J95" s="17">
        <v>45097</v>
      </c>
      <c r="K95" s="17">
        <v>45463</v>
      </c>
      <c r="L95" s="14" t="s">
        <v>299</v>
      </c>
      <c r="M95" s="22">
        <v>45077</v>
      </c>
      <c r="N95" s="15" t="s">
        <v>193</v>
      </c>
    </row>
    <row r="96" spans="1:15" s="6" customFormat="1" ht="30" x14ac:dyDescent="0.25">
      <c r="A96" s="13" t="s">
        <v>342</v>
      </c>
      <c r="B96" s="14" t="s">
        <v>15</v>
      </c>
      <c r="C96" s="14" t="s">
        <v>16</v>
      </c>
      <c r="D96" s="13" t="str">
        <f>"23-AFFIDAMENTO DIRETTO"</f>
        <v>23-AFFIDAMENTO DIRETTO</v>
      </c>
      <c r="E96" s="14" t="s">
        <v>343</v>
      </c>
      <c r="F96" s="13" t="s">
        <v>344</v>
      </c>
      <c r="G96" s="13" t="s">
        <v>344</v>
      </c>
      <c r="H96" s="9" t="str">
        <f>"5600,00"</f>
        <v>5600,00</v>
      </c>
      <c r="I96" s="14">
        <v>2023</v>
      </c>
      <c r="J96" s="17">
        <v>45122</v>
      </c>
      <c r="K96" s="17">
        <v>45199</v>
      </c>
      <c r="L96" s="14"/>
      <c r="M96" s="22"/>
      <c r="N96" s="15" t="s">
        <v>159</v>
      </c>
    </row>
    <row r="97" spans="1:14" s="6" customFormat="1" x14ac:dyDescent="0.25">
      <c r="A97" s="13" t="s">
        <v>209</v>
      </c>
      <c r="B97" s="14" t="s">
        <v>15</v>
      </c>
      <c r="C97" s="14" t="s">
        <v>16</v>
      </c>
      <c r="D97" s="13" t="str">
        <f t="shared" ref="D97:D104" si="13">"23-AFFIDAMENTO DIRETTO"</f>
        <v>23-AFFIDAMENTO DIRETTO</v>
      </c>
      <c r="E97" s="14" t="s">
        <v>341</v>
      </c>
      <c r="F97" s="13" t="s">
        <v>328</v>
      </c>
      <c r="G97" s="13" t="s">
        <v>328</v>
      </c>
      <c r="H97" s="9" t="str">
        <f>"3210,78"</f>
        <v>3210,78</v>
      </c>
      <c r="I97" s="14">
        <v>2023</v>
      </c>
      <c r="J97" s="17">
        <v>45078</v>
      </c>
      <c r="K97" s="17">
        <v>45443</v>
      </c>
      <c r="L97" s="14"/>
      <c r="M97" s="14"/>
      <c r="N97" s="15" t="s">
        <v>206</v>
      </c>
    </row>
    <row r="98" spans="1:14" s="6" customFormat="1" ht="30" x14ac:dyDescent="0.25">
      <c r="A98" s="13" t="str">
        <f>"docenza corso AIM 03/2023 - Nozioni diritto civile"</f>
        <v>docenza corso AIM 03/2023 - Nozioni diritto civile</v>
      </c>
      <c r="B98" s="14" t="s">
        <v>15</v>
      </c>
      <c r="C98" s="14" t="s">
        <v>16</v>
      </c>
      <c r="D98" s="13" t="str">
        <f t="shared" si="13"/>
        <v>23-AFFIDAMENTO DIRETTO</v>
      </c>
      <c r="E98" s="14" t="str">
        <f>"0000000000"</f>
        <v>0000000000</v>
      </c>
      <c r="F98" s="13" t="str">
        <f>"Iembo Elena, 02459670796"</f>
        <v>Iembo Elena, 02459670796</v>
      </c>
      <c r="G98" s="13" t="str">
        <f>"Iembo Elena, 02459670796"</f>
        <v>Iembo Elena, 02459670796</v>
      </c>
      <c r="H98" s="9" t="str">
        <f>"1260,00"</f>
        <v>1260,00</v>
      </c>
      <c r="I98" s="14">
        <v>2023</v>
      </c>
      <c r="J98" s="17">
        <v>45075</v>
      </c>
      <c r="K98" s="17">
        <v>45131</v>
      </c>
      <c r="L98" s="14"/>
      <c r="M98" s="14"/>
      <c r="N98" s="15" t="s">
        <v>207</v>
      </c>
    </row>
    <row r="99" spans="1:14" s="6" customFormat="1" ht="30" x14ac:dyDescent="0.25">
      <c r="A99" s="13" t="str">
        <f>"docenza corso AIM 03/2023 - Nozioni diritto amm.vo"</f>
        <v>docenza corso AIM 03/2023 - Nozioni diritto amm.vo</v>
      </c>
      <c r="B99" s="14" t="s">
        <v>15</v>
      </c>
      <c r="C99" s="14" t="s">
        <v>16</v>
      </c>
      <c r="D99" s="13" t="str">
        <f t="shared" si="13"/>
        <v>23-AFFIDAMENTO DIRETTO</v>
      </c>
      <c r="E99" s="14" t="s">
        <v>214</v>
      </c>
      <c r="F99" s="13" t="str">
        <f>"Pizzullo Michele, 06407131009"</f>
        <v>Pizzullo Michele, 06407131009</v>
      </c>
      <c r="G99" s="13" t="str">
        <f>"Pizzullo Michele, 06407131009"</f>
        <v>Pizzullo Michele, 06407131009</v>
      </c>
      <c r="H99" s="9" t="str">
        <f>"700,00"</f>
        <v>700,00</v>
      </c>
      <c r="I99" s="14">
        <v>2023</v>
      </c>
      <c r="J99" s="17">
        <v>45075</v>
      </c>
      <c r="K99" s="17">
        <v>45131</v>
      </c>
      <c r="L99" s="14"/>
      <c r="M99" s="14"/>
      <c r="N99" s="15" t="s">
        <v>208</v>
      </c>
    </row>
    <row r="100" spans="1:14" s="6" customFormat="1" ht="45" x14ac:dyDescent="0.25">
      <c r="A100" s="13" t="str">
        <f>"docenza corso AIM 03/2023 - Nozioni diritto tributario e diritto finanziario"</f>
        <v>docenza corso AIM 03/2023 - Nozioni diritto tributario e diritto finanziario</v>
      </c>
      <c r="B100" s="14" t="s">
        <v>15</v>
      </c>
      <c r="C100" s="14" t="s">
        <v>16</v>
      </c>
      <c r="D100" s="13" t="str">
        <f t="shared" si="13"/>
        <v>23-AFFIDAMENTO DIRETTO</v>
      </c>
      <c r="E100" s="14" t="str">
        <f>"0000000000"</f>
        <v>0000000000</v>
      </c>
      <c r="F100" s="13" t="str">
        <f>"Donda Paolo, 07143251002"</f>
        <v>Donda Paolo, 07143251002</v>
      </c>
      <c r="G100" s="13" t="str">
        <f>"Donda Paolo, 07143251002"</f>
        <v>Donda Paolo, 07143251002</v>
      </c>
      <c r="H100" s="9" t="str">
        <f>"1330,00"</f>
        <v>1330,00</v>
      </c>
      <c r="I100" s="14">
        <v>2023</v>
      </c>
      <c r="J100" s="17">
        <v>45075</v>
      </c>
      <c r="K100" s="17">
        <v>45131</v>
      </c>
      <c r="L100" s="14"/>
      <c r="M100" s="14"/>
      <c r="N100" s="15" t="s">
        <v>210</v>
      </c>
    </row>
    <row r="101" spans="1:14" s="6" customFormat="1" ht="45" x14ac:dyDescent="0.25">
      <c r="A101" s="13" t="str">
        <f>"docenza corso AIM 03/2023 - nozioni di Diritto Commerciale"</f>
        <v>docenza corso AIM 03/2023 - nozioni di Diritto Commerciale</v>
      </c>
      <c r="B101" s="14" t="s">
        <v>15</v>
      </c>
      <c r="C101" s="14" t="s">
        <v>16</v>
      </c>
      <c r="D101" s="13" t="str">
        <f t="shared" si="13"/>
        <v>23-AFFIDAMENTO DIRETTO</v>
      </c>
      <c r="E101" s="14" t="str">
        <f>"0000000000"</f>
        <v>0000000000</v>
      </c>
      <c r="F101" s="13" t="str">
        <f>"Piacentini Marcello, 07761221006"</f>
        <v>Piacentini Marcello, 07761221006</v>
      </c>
      <c r="G101" s="13" t="str">
        <f>"Piacentini Marcello, 07761221006"</f>
        <v>Piacentini Marcello, 07761221006</v>
      </c>
      <c r="H101" s="9" t="str">
        <f>"700,00"</f>
        <v>700,00</v>
      </c>
      <c r="I101" s="14">
        <v>2023</v>
      </c>
      <c r="J101" s="17">
        <v>45075</v>
      </c>
      <c r="K101" s="17">
        <v>45131</v>
      </c>
      <c r="L101" s="14"/>
      <c r="M101" s="14"/>
      <c r="N101" s="15" t="s">
        <v>211</v>
      </c>
    </row>
    <row r="102" spans="1:14" s="6" customFormat="1" ht="30" x14ac:dyDescent="0.25">
      <c r="A102" s="13" t="str">
        <f>"docenza corso AIM 03/2023 - nozioni di estimo"</f>
        <v>docenza corso AIM 03/2023 - nozioni di estimo</v>
      </c>
      <c r="B102" s="14" t="s">
        <v>15</v>
      </c>
      <c r="C102" s="14" t="s">
        <v>16</v>
      </c>
      <c r="D102" s="13" t="str">
        <f t="shared" si="13"/>
        <v>23-AFFIDAMENTO DIRETTO</v>
      </c>
      <c r="E102" s="14" t="str">
        <f>"0000000000"</f>
        <v>0000000000</v>
      </c>
      <c r="F102" s="13" t="s">
        <v>213</v>
      </c>
      <c r="G102" s="13" t="s">
        <v>213</v>
      </c>
      <c r="H102" s="9" t="str">
        <f>"1260,00"</f>
        <v>1260,00</v>
      </c>
      <c r="I102" s="14">
        <v>2023</v>
      </c>
      <c r="J102" s="17">
        <v>45075</v>
      </c>
      <c r="K102" s="17">
        <v>45131</v>
      </c>
      <c r="L102" s="14"/>
      <c r="M102" s="14"/>
      <c r="N102" s="15" t="s">
        <v>212</v>
      </c>
    </row>
    <row r="103" spans="1:14" s="6" customFormat="1" ht="30" x14ac:dyDescent="0.25">
      <c r="A103" s="13" t="s">
        <v>215</v>
      </c>
      <c r="B103" s="14" t="s">
        <v>15</v>
      </c>
      <c r="C103" s="14" t="s">
        <v>16</v>
      </c>
      <c r="D103" s="13" t="str">
        <f t="shared" si="13"/>
        <v>23-AFFIDAMENTO DIRETTO</v>
      </c>
      <c r="E103" s="14" t="s">
        <v>216</v>
      </c>
      <c r="F103" s="13" t="str">
        <f t="shared" ref="F103:G103" si="14">"MAGGIOLI SPA, 02066400405"</f>
        <v>MAGGIOLI SPA, 02066400405</v>
      </c>
      <c r="G103" s="13" t="str">
        <f t="shared" si="14"/>
        <v>MAGGIOLI SPA, 02066400405</v>
      </c>
      <c r="H103" s="9" t="str">
        <f>"352,00"</f>
        <v>352,00</v>
      </c>
      <c r="I103" s="14">
        <v>2023</v>
      </c>
      <c r="J103" s="17">
        <v>45065</v>
      </c>
      <c r="K103" s="17">
        <v>45075</v>
      </c>
      <c r="L103" s="14"/>
      <c r="M103" s="14"/>
      <c r="N103" s="15" t="s">
        <v>217</v>
      </c>
    </row>
    <row r="104" spans="1:14" s="6" customFormat="1" ht="30" x14ac:dyDescent="0.25">
      <c r="A104" s="13" t="s">
        <v>345</v>
      </c>
      <c r="B104" s="14" t="s">
        <v>15</v>
      </c>
      <c r="C104" s="14" t="s">
        <v>16</v>
      </c>
      <c r="D104" s="13" t="str">
        <f t="shared" si="13"/>
        <v>23-AFFIDAMENTO DIRETTO</v>
      </c>
      <c r="E104" s="14"/>
      <c r="F104" s="13" t="s">
        <v>346</v>
      </c>
      <c r="G104" s="13" t="s">
        <v>346</v>
      </c>
      <c r="H104" s="9" t="str">
        <f>"680,00"</f>
        <v>680,00</v>
      </c>
      <c r="I104" s="14">
        <v>2023</v>
      </c>
      <c r="J104" s="17">
        <v>45122</v>
      </c>
      <c r="K104" s="17">
        <v>45199</v>
      </c>
      <c r="L104" s="14"/>
      <c r="M104" s="14"/>
      <c r="N104" s="15" t="s">
        <v>218</v>
      </c>
    </row>
    <row r="105" spans="1:14" s="6" customFormat="1" ht="45" x14ac:dyDescent="0.25">
      <c r="A105" s="13" t="s">
        <v>340</v>
      </c>
      <c r="B105" s="14" t="s">
        <v>15</v>
      </c>
      <c r="C105" s="14" t="s">
        <v>16</v>
      </c>
      <c r="D105" s="13" t="str">
        <f>"23-AFFIDAMENTO DIRETTO"</f>
        <v>23-AFFIDAMENTO DIRETTO</v>
      </c>
      <c r="E105" s="14" t="str">
        <f>"0000000000"</f>
        <v>0000000000</v>
      </c>
      <c r="F105" s="13" t="s">
        <v>347</v>
      </c>
      <c r="G105" s="13" t="s">
        <v>347</v>
      </c>
      <c r="H105" s="9" t="str">
        <f>"3394,30"</f>
        <v>3394,30</v>
      </c>
      <c r="I105" s="14">
        <v>2023</v>
      </c>
      <c r="J105" s="17">
        <v>45108</v>
      </c>
      <c r="K105" s="17">
        <v>45199</v>
      </c>
      <c r="L105" s="14"/>
      <c r="M105" s="14"/>
      <c r="N105" s="15" t="s">
        <v>219</v>
      </c>
    </row>
    <row r="106" spans="1:14" s="6" customFormat="1" ht="30" x14ac:dyDescent="0.25">
      <c r="A106" s="13" t="s">
        <v>221</v>
      </c>
      <c r="B106" s="14" t="s">
        <v>15</v>
      </c>
      <c r="C106" s="14" t="s">
        <v>16</v>
      </c>
      <c r="D106" s="13" t="str">
        <f>"23-AFFIDAMENTO DIRETTO"</f>
        <v>23-AFFIDAMENTO DIRETTO</v>
      </c>
      <c r="E106" s="14" t="s">
        <v>222</v>
      </c>
      <c r="F106" s="13" t="s">
        <v>223</v>
      </c>
      <c r="G106" s="13" t="s">
        <v>223</v>
      </c>
      <c r="H106" s="9" t="str">
        <f>"1199,00"</f>
        <v>1199,00</v>
      </c>
      <c r="I106" s="14">
        <v>2023</v>
      </c>
      <c r="J106" s="17"/>
      <c r="K106" s="17"/>
      <c r="L106" s="14"/>
      <c r="M106" s="14"/>
      <c r="N106" s="15" t="s">
        <v>220</v>
      </c>
    </row>
    <row r="107" spans="1:14" s="6" customFormat="1" ht="30" x14ac:dyDescent="0.25">
      <c r="A107" s="13" t="s">
        <v>224</v>
      </c>
      <c r="B107" s="14" t="s">
        <v>15</v>
      </c>
      <c r="C107" s="14" t="s">
        <v>16</v>
      </c>
      <c r="D107" s="13" t="str">
        <f t="shared" ref="D107:D124" si="15">"23-AFFIDAMENTO DIRETTO"</f>
        <v>23-AFFIDAMENTO DIRETTO</v>
      </c>
      <c r="E107" s="14" t="str">
        <f t="shared" ref="E107:E108" si="16">"0000000000"</f>
        <v>0000000000</v>
      </c>
      <c r="F107" s="13" t="s">
        <v>203</v>
      </c>
      <c r="G107" s="13" t="s">
        <v>203</v>
      </c>
      <c r="H107" s="9" t="str">
        <f>"280,00"</f>
        <v>280,00</v>
      </c>
      <c r="I107" s="14">
        <v>2023</v>
      </c>
      <c r="J107" s="17">
        <v>45069</v>
      </c>
      <c r="K107" s="17">
        <v>45069</v>
      </c>
      <c r="L107" s="14"/>
      <c r="M107" s="14"/>
      <c r="N107" s="15" t="s">
        <v>225</v>
      </c>
    </row>
    <row r="108" spans="1:14" s="6" customFormat="1" ht="30" x14ac:dyDescent="0.25">
      <c r="A108" s="13" t="s">
        <v>224</v>
      </c>
      <c r="B108" s="14" t="s">
        <v>15</v>
      </c>
      <c r="C108" s="14" t="s">
        <v>16</v>
      </c>
      <c r="D108" s="13" t="str">
        <f t="shared" si="15"/>
        <v>23-AFFIDAMENTO DIRETTO</v>
      </c>
      <c r="E108" s="14" t="str">
        <f t="shared" si="16"/>
        <v>0000000000</v>
      </c>
      <c r="F108" s="13" t="s">
        <v>202</v>
      </c>
      <c r="G108" s="13" t="s">
        <v>202</v>
      </c>
      <c r="H108" s="9" t="str">
        <f>"280,00"</f>
        <v>280,00</v>
      </c>
      <c r="I108" s="14">
        <v>2023</v>
      </c>
      <c r="J108" s="17">
        <v>45071</v>
      </c>
      <c r="K108" s="17">
        <v>45071</v>
      </c>
      <c r="L108" s="14"/>
      <c r="M108" s="14"/>
      <c r="N108" s="15" t="s">
        <v>226</v>
      </c>
    </row>
    <row r="109" spans="1:14" s="6" customFormat="1" ht="60" x14ac:dyDescent="0.25">
      <c r="A109" s="13" t="s">
        <v>227</v>
      </c>
      <c r="B109" s="14" t="s">
        <v>15</v>
      </c>
      <c r="C109" s="14" t="s">
        <v>16</v>
      </c>
      <c r="D109" s="13" t="str">
        <f t="shared" si="15"/>
        <v>23-AFFIDAMENTO DIRETTO</v>
      </c>
      <c r="E109" s="14" t="s">
        <v>228</v>
      </c>
      <c r="F109" s="13" t="s">
        <v>229</v>
      </c>
      <c r="G109" s="13" t="s">
        <v>229</v>
      </c>
      <c r="H109" s="9" t="str">
        <f>"6000,00"</f>
        <v>6000,00</v>
      </c>
      <c r="I109" s="14">
        <v>2023</v>
      </c>
      <c r="J109" s="17">
        <v>45093</v>
      </c>
      <c r="K109" s="17">
        <v>45093</v>
      </c>
      <c r="L109" s="14" t="s">
        <v>321</v>
      </c>
      <c r="M109" s="22">
        <v>45092</v>
      </c>
      <c r="N109" s="15" t="s">
        <v>230</v>
      </c>
    </row>
    <row r="110" spans="1:14" s="38" customFormat="1" ht="45" x14ac:dyDescent="0.25">
      <c r="A110" s="31" t="s">
        <v>332</v>
      </c>
      <c r="B110" s="32" t="s">
        <v>15</v>
      </c>
      <c r="C110" s="32" t="s">
        <v>16</v>
      </c>
      <c r="D110" s="31" t="str">
        <f>"04-PROCEDURA NEGOZIATA SENZA PREVIA PUBBLICAZIONE"</f>
        <v>04-PROCEDURA NEGOZIATA SENZA PREVIA PUBBLICAZIONE</v>
      </c>
      <c r="E110" s="32" t="s">
        <v>333</v>
      </c>
      <c r="F110" s="37" t="s">
        <v>334</v>
      </c>
      <c r="G110" s="37" t="s">
        <v>334</v>
      </c>
      <c r="H110" s="33" t="str">
        <f>"12000,00"</f>
        <v>12000,00</v>
      </c>
      <c r="I110" s="32">
        <v>2023</v>
      </c>
      <c r="J110" s="34">
        <v>45122</v>
      </c>
      <c r="K110" s="34">
        <v>45291</v>
      </c>
      <c r="L110" s="32"/>
      <c r="M110" s="32"/>
      <c r="N110" s="35" t="s">
        <v>233</v>
      </c>
    </row>
    <row r="111" spans="1:14" s="6" customFormat="1" ht="90" x14ac:dyDescent="0.25">
      <c r="A111" s="13" t="s">
        <v>234</v>
      </c>
      <c r="B111" s="14" t="s">
        <v>15</v>
      </c>
      <c r="C111" s="14" t="s">
        <v>16</v>
      </c>
      <c r="D111" s="13" t="str">
        <f t="shared" si="15"/>
        <v>23-AFFIDAMENTO DIRETTO</v>
      </c>
      <c r="E111" s="14" t="str">
        <f t="shared" ref="E111:E124" si="17">"0000000000"</f>
        <v>0000000000</v>
      </c>
      <c r="F111" s="13" t="s">
        <v>235</v>
      </c>
      <c r="G111" s="13" t="s">
        <v>235</v>
      </c>
      <c r="H111" s="9" t="str">
        <f>"1200,00"</f>
        <v>1200,00</v>
      </c>
      <c r="I111" s="14">
        <v>2023</v>
      </c>
      <c r="J111" s="17">
        <v>45085</v>
      </c>
      <c r="K111" s="17">
        <v>45125</v>
      </c>
      <c r="L111" s="14"/>
      <c r="M111" s="14"/>
      <c r="N111" s="15" t="s">
        <v>236</v>
      </c>
    </row>
    <row r="112" spans="1:14" ht="75" x14ac:dyDescent="0.25">
      <c r="A112" s="13" t="s">
        <v>237</v>
      </c>
      <c r="B112" s="14" t="s">
        <v>15</v>
      </c>
      <c r="C112" s="14" t="s">
        <v>16</v>
      </c>
      <c r="D112" s="13" t="str">
        <f t="shared" si="15"/>
        <v>23-AFFIDAMENTO DIRETTO</v>
      </c>
      <c r="E112" s="14" t="str">
        <f t="shared" si="17"/>
        <v>0000000000</v>
      </c>
      <c r="F112" s="13" t="s">
        <v>238</v>
      </c>
      <c r="G112" s="13" t="s">
        <v>238</v>
      </c>
      <c r="H112" s="9" t="str">
        <f>"1200,00"</f>
        <v>1200,00</v>
      </c>
      <c r="I112" s="14">
        <v>2023</v>
      </c>
      <c r="J112" s="17">
        <v>45090</v>
      </c>
      <c r="K112" s="17">
        <v>45113</v>
      </c>
      <c r="L112" s="14"/>
      <c r="M112" s="14"/>
      <c r="N112" s="15" t="s">
        <v>239</v>
      </c>
    </row>
    <row r="113" spans="1:14" ht="75" x14ac:dyDescent="0.25">
      <c r="A113" s="13" t="s">
        <v>240</v>
      </c>
      <c r="B113" s="14" t="s">
        <v>15</v>
      </c>
      <c r="C113" s="14" t="s">
        <v>16</v>
      </c>
      <c r="D113" s="13" t="str">
        <f t="shared" si="15"/>
        <v>23-AFFIDAMENTO DIRETTO</v>
      </c>
      <c r="E113" s="14" t="str">
        <f t="shared" si="17"/>
        <v>0000000000</v>
      </c>
      <c r="F113" s="13" t="s">
        <v>235</v>
      </c>
      <c r="G113" s="13" t="s">
        <v>235</v>
      </c>
      <c r="H113" s="9" t="str">
        <f>"900,00"</f>
        <v>900,00</v>
      </c>
      <c r="I113" s="14">
        <v>2023</v>
      </c>
      <c r="J113" s="17">
        <v>45085</v>
      </c>
      <c r="K113" s="17">
        <v>45118</v>
      </c>
      <c r="L113" s="14"/>
      <c r="M113" s="14"/>
      <c r="N113" s="15" t="s">
        <v>241</v>
      </c>
    </row>
    <row r="114" spans="1:14" ht="90" x14ac:dyDescent="0.25">
      <c r="A114" s="13" t="s">
        <v>242</v>
      </c>
      <c r="B114" s="14" t="s">
        <v>15</v>
      </c>
      <c r="C114" s="14" t="s">
        <v>16</v>
      </c>
      <c r="D114" s="13" t="str">
        <f t="shared" si="15"/>
        <v>23-AFFIDAMENTO DIRETTO</v>
      </c>
      <c r="E114" s="14" t="str">
        <f t="shared" si="17"/>
        <v>0000000000</v>
      </c>
      <c r="F114" s="13" t="s">
        <v>243</v>
      </c>
      <c r="G114" s="13" t="s">
        <v>243</v>
      </c>
      <c r="H114" s="9" t="str">
        <f>"700,00"</f>
        <v>700,00</v>
      </c>
      <c r="I114" s="14">
        <v>2023</v>
      </c>
      <c r="J114" s="17">
        <v>45097</v>
      </c>
      <c r="K114" s="17">
        <v>45111</v>
      </c>
      <c r="L114" s="14"/>
      <c r="M114" s="14"/>
      <c r="N114" s="15" t="s">
        <v>244</v>
      </c>
    </row>
    <row r="115" spans="1:14" ht="90" x14ac:dyDescent="0.25">
      <c r="A115" s="13" t="s">
        <v>242</v>
      </c>
      <c r="B115" s="14" t="s">
        <v>15</v>
      </c>
      <c r="C115" s="14" t="s">
        <v>16</v>
      </c>
      <c r="D115" s="13" t="str">
        <f t="shared" si="15"/>
        <v>23-AFFIDAMENTO DIRETTO</v>
      </c>
      <c r="E115" s="14" t="str">
        <f t="shared" si="17"/>
        <v>0000000000</v>
      </c>
      <c r="F115" s="13" t="s">
        <v>245</v>
      </c>
      <c r="G115" s="13" t="s">
        <v>245</v>
      </c>
      <c r="H115" s="9" t="str">
        <f>"100,00"</f>
        <v>100,00</v>
      </c>
      <c r="I115" s="14">
        <v>2023</v>
      </c>
      <c r="J115" s="17">
        <v>45097</v>
      </c>
      <c r="K115" s="17">
        <v>45097</v>
      </c>
      <c r="L115" s="14"/>
      <c r="M115" s="14"/>
      <c r="N115" s="15" t="s">
        <v>247</v>
      </c>
    </row>
    <row r="116" spans="1:14" ht="90" x14ac:dyDescent="0.25">
      <c r="A116" s="18" t="s">
        <v>242</v>
      </c>
      <c r="B116" s="19" t="s">
        <v>15</v>
      </c>
      <c r="C116" s="19" t="s">
        <v>16</v>
      </c>
      <c r="D116" s="18" t="str">
        <f t="shared" si="15"/>
        <v>23-AFFIDAMENTO DIRETTO</v>
      </c>
      <c r="E116" s="19" t="str">
        <f t="shared" si="17"/>
        <v>0000000000</v>
      </c>
      <c r="F116" s="18" t="s">
        <v>246</v>
      </c>
      <c r="G116" s="18" t="s">
        <v>246</v>
      </c>
      <c r="H116" s="19" t="str">
        <f>"300,00"</f>
        <v>300,00</v>
      </c>
      <c r="I116" s="19">
        <v>2023</v>
      </c>
      <c r="J116" s="17">
        <v>45103</v>
      </c>
      <c r="K116" s="17">
        <v>45103</v>
      </c>
      <c r="L116" s="14"/>
      <c r="M116" s="14"/>
      <c r="N116" s="15" t="s">
        <v>248</v>
      </c>
    </row>
    <row r="117" spans="1:14" ht="45" x14ac:dyDescent="0.25">
      <c r="A117" s="18" t="s">
        <v>329</v>
      </c>
      <c r="B117" s="19" t="s">
        <v>15</v>
      </c>
      <c r="C117" s="19" t="s">
        <v>16</v>
      </c>
      <c r="D117" s="18" t="str">
        <f t="shared" si="15"/>
        <v>23-AFFIDAMENTO DIRETTO</v>
      </c>
      <c r="E117" s="19" t="s">
        <v>331</v>
      </c>
      <c r="F117" s="18" t="s">
        <v>330</v>
      </c>
      <c r="G117" s="18" t="s">
        <v>330</v>
      </c>
      <c r="H117" s="19" t="str">
        <f>"336,44"</f>
        <v>336,44</v>
      </c>
      <c r="I117" s="19">
        <v>2023</v>
      </c>
      <c r="J117" s="17"/>
      <c r="K117" s="17"/>
      <c r="L117" s="14"/>
      <c r="M117" s="14"/>
      <c r="N117" s="15" t="s">
        <v>250</v>
      </c>
    </row>
    <row r="118" spans="1:14" ht="45" x14ac:dyDescent="0.25">
      <c r="A118" s="13" t="str">
        <f>"Progetto Garanzia Occupabilità Lavoratori - orientamento"</f>
        <v>Progetto Garanzia Occupabilità Lavoratori - orientamento</v>
      </c>
      <c r="B118" s="14" t="s">
        <v>15</v>
      </c>
      <c r="C118" s="14" t="s">
        <v>16</v>
      </c>
      <c r="D118" s="13" t="str">
        <f t="shared" si="15"/>
        <v>23-AFFIDAMENTO DIRETTO</v>
      </c>
      <c r="E118" s="14" t="str">
        <f t="shared" si="17"/>
        <v>0000000000</v>
      </c>
      <c r="F118" s="8" t="s">
        <v>249</v>
      </c>
      <c r="G118" s="8" t="s">
        <v>249</v>
      </c>
      <c r="H118" s="9" t="str">
        <f>"2611,00"</f>
        <v>2611,00</v>
      </c>
      <c r="I118" s="14">
        <v>2023</v>
      </c>
      <c r="J118" s="17">
        <v>45082</v>
      </c>
      <c r="K118" s="17">
        <v>45138</v>
      </c>
      <c r="L118" s="14"/>
      <c r="M118" s="14"/>
      <c r="N118" s="15" t="s">
        <v>251</v>
      </c>
    </row>
    <row r="119" spans="1:14" ht="45" x14ac:dyDescent="0.25">
      <c r="A119" s="13" t="s">
        <v>254</v>
      </c>
      <c r="B119" s="14" t="s">
        <v>15</v>
      </c>
      <c r="C119" s="14" t="s">
        <v>16</v>
      </c>
      <c r="D119" s="13" t="str">
        <f t="shared" si="15"/>
        <v>23-AFFIDAMENTO DIRETTO</v>
      </c>
      <c r="E119" s="14" t="str">
        <f t="shared" si="17"/>
        <v>0000000000</v>
      </c>
      <c r="F119" s="8" t="s">
        <v>252</v>
      </c>
      <c r="G119" s="8" t="s">
        <v>252</v>
      </c>
      <c r="H119" s="9" t="str">
        <f>"400,00"</f>
        <v>400,00</v>
      </c>
      <c r="I119" s="14">
        <v>2023</v>
      </c>
      <c r="J119" s="17">
        <v>45083</v>
      </c>
      <c r="K119" s="17">
        <v>45083</v>
      </c>
      <c r="L119" s="14" t="s">
        <v>315</v>
      </c>
      <c r="M119" s="22">
        <v>45090</v>
      </c>
      <c r="N119" s="15" t="s">
        <v>253</v>
      </c>
    </row>
    <row r="120" spans="1:14" ht="45" x14ac:dyDescent="0.25">
      <c r="A120" s="13" t="s">
        <v>255</v>
      </c>
      <c r="B120" s="14" t="s">
        <v>15</v>
      </c>
      <c r="C120" s="14" t="s">
        <v>16</v>
      </c>
      <c r="D120" s="13" t="str">
        <f t="shared" si="15"/>
        <v>23-AFFIDAMENTO DIRETTO</v>
      </c>
      <c r="E120" s="14" t="str">
        <f t="shared" si="17"/>
        <v>0000000000</v>
      </c>
      <c r="F120" s="8" t="s">
        <v>257</v>
      </c>
      <c r="G120" s="8" t="s">
        <v>257</v>
      </c>
      <c r="H120" s="9" t="str">
        <f>"400,00"</f>
        <v>400,00</v>
      </c>
      <c r="I120" s="14">
        <v>2023</v>
      </c>
      <c r="J120" s="17">
        <v>45083</v>
      </c>
      <c r="K120" s="17">
        <v>45083</v>
      </c>
      <c r="L120" s="14"/>
      <c r="M120" s="14"/>
      <c r="N120" s="15" t="s">
        <v>256</v>
      </c>
    </row>
    <row r="121" spans="1:14" ht="54" x14ac:dyDescent="0.25">
      <c r="A121" s="13" t="s">
        <v>258</v>
      </c>
      <c r="B121" s="14" t="s">
        <v>15</v>
      </c>
      <c r="C121" s="14" t="s">
        <v>16</v>
      </c>
      <c r="D121" s="13" t="str">
        <f t="shared" si="15"/>
        <v>23-AFFIDAMENTO DIRETTO</v>
      </c>
      <c r="E121" s="14" t="s">
        <v>260</v>
      </c>
      <c r="F121" s="13" t="s">
        <v>259</v>
      </c>
      <c r="G121" s="13" t="s">
        <v>259</v>
      </c>
      <c r="H121" s="9" t="str">
        <f>"12880,00"</f>
        <v>12880,00</v>
      </c>
      <c r="I121" s="14">
        <v>2023</v>
      </c>
      <c r="J121" s="17">
        <v>45098</v>
      </c>
      <c r="K121" s="17">
        <v>45197</v>
      </c>
      <c r="L121" s="14"/>
      <c r="M121" s="14"/>
      <c r="N121" s="15" t="s">
        <v>261</v>
      </c>
    </row>
    <row r="122" spans="1:14" ht="60" x14ac:dyDescent="0.25">
      <c r="A122" s="13" t="s">
        <v>262</v>
      </c>
      <c r="B122" s="14" t="s">
        <v>15</v>
      </c>
      <c r="C122" s="14" t="s">
        <v>16</v>
      </c>
      <c r="D122" s="13" t="str">
        <f t="shared" si="15"/>
        <v>23-AFFIDAMENTO DIRETTO</v>
      </c>
      <c r="E122" s="14" t="str">
        <f t="shared" si="17"/>
        <v>0000000000</v>
      </c>
      <c r="F122" s="8" t="s">
        <v>252</v>
      </c>
      <c r="G122" s="8" t="s">
        <v>252</v>
      </c>
      <c r="H122" s="9" t="str">
        <f>"750,00"</f>
        <v>750,00</v>
      </c>
      <c r="I122" s="14">
        <v>2023</v>
      </c>
      <c r="J122" s="17">
        <v>45093</v>
      </c>
      <c r="K122" s="17">
        <v>45093</v>
      </c>
      <c r="L122" s="14"/>
      <c r="M122" s="14"/>
      <c r="N122" s="15" t="s">
        <v>265</v>
      </c>
    </row>
    <row r="123" spans="1:14" ht="75" x14ac:dyDescent="0.25">
      <c r="A123" s="13" t="s">
        <v>267</v>
      </c>
      <c r="B123" s="14" t="s">
        <v>15</v>
      </c>
      <c r="C123" s="14" t="s">
        <v>16</v>
      </c>
      <c r="D123" s="13" t="str">
        <f t="shared" si="15"/>
        <v>23-AFFIDAMENTO DIRETTO</v>
      </c>
      <c r="E123" s="14" t="s">
        <v>327</v>
      </c>
      <c r="F123" s="8" t="s">
        <v>268</v>
      </c>
      <c r="G123" s="8" t="s">
        <v>268</v>
      </c>
      <c r="H123" s="9" t="str">
        <f>"800,00"</f>
        <v>800,00</v>
      </c>
      <c r="I123" s="14">
        <v>2023</v>
      </c>
      <c r="J123" s="17">
        <v>45093</v>
      </c>
      <c r="K123" s="17">
        <v>45093</v>
      </c>
      <c r="L123" s="14"/>
      <c r="M123" s="14"/>
      <c r="N123" s="15" t="s">
        <v>269</v>
      </c>
    </row>
    <row r="124" spans="1:14" ht="90" x14ac:dyDescent="0.25">
      <c r="A124" s="13" t="s">
        <v>263</v>
      </c>
      <c r="B124" s="14" t="s">
        <v>15</v>
      </c>
      <c r="C124" s="14" t="s">
        <v>16</v>
      </c>
      <c r="D124" s="13" t="str">
        <f t="shared" si="15"/>
        <v>23-AFFIDAMENTO DIRETTO</v>
      </c>
      <c r="E124" s="14" t="str">
        <f t="shared" si="17"/>
        <v>0000000000</v>
      </c>
      <c r="F124" s="8" t="s">
        <v>264</v>
      </c>
      <c r="G124" s="8" t="s">
        <v>264</v>
      </c>
      <c r="H124" s="9" t="str">
        <f>"750,00"</f>
        <v>750,00</v>
      </c>
      <c r="I124" s="14">
        <v>2023</v>
      </c>
      <c r="J124" s="17">
        <v>45093</v>
      </c>
      <c r="K124" s="17">
        <v>45093</v>
      </c>
      <c r="L124" s="14"/>
      <c r="M124" s="14"/>
      <c r="N124" s="15" t="s">
        <v>266</v>
      </c>
    </row>
    <row r="125" spans="1:14" ht="90" x14ac:dyDescent="0.25">
      <c r="A125" s="13" t="s">
        <v>338</v>
      </c>
      <c r="B125" s="14" t="s">
        <v>15</v>
      </c>
      <c r="C125" s="14" t="s">
        <v>16</v>
      </c>
      <c r="D125" s="13" t="str">
        <f>"04-PROCEDURA NEGOZIATA SENZA PREVIA PUBBLICAZIONE"</f>
        <v>04-PROCEDURA NEGOZIATA SENZA PREVIA PUBBLICAZIONE</v>
      </c>
      <c r="E125" s="14" t="s">
        <v>339</v>
      </c>
      <c r="F125" s="8" t="s">
        <v>259</v>
      </c>
      <c r="G125" s="8" t="s">
        <v>259</v>
      </c>
      <c r="H125" s="9" t="str">
        <f>"5830,00"</f>
        <v>5830,00</v>
      </c>
      <c r="I125" s="14">
        <v>2023</v>
      </c>
      <c r="J125" s="17">
        <v>45120</v>
      </c>
      <c r="K125" s="17">
        <v>45138</v>
      </c>
      <c r="L125" s="14"/>
      <c r="M125" s="14"/>
      <c r="N125" s="15" t="s">
        <v>335</v>
      </c>
    </row>
    <row r="126" spans="1:14" x14ac:dyDescent="0.25">
      <c r="C126" s="2"/>
      <c r="M126" s="26"/>
      <c r="N126" s="15"/>
    </row>
  </sheetData>
  <autoFilter ref="A3:N124" xr:uid="{00000000-0001-0000-0000-000000000000}"/>
  <sortState xmlns:xlrd2="http://schemas.microsoft.com/office/spreadsheetml/2017/richdata2" ref="A3:XFD5">
    <sortCondition ref="N3:N5"/>
  </sortState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3577E-10E2-46A0-A78F-3B7E77D576AF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13412684-6154-48EC-AF70-1372A25184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D36D0-513D-4F5E-A606-F425D913A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Ilaria Rovere</cp:lastModifiedBy>
  <cp:revision/>
  <dcterms:created xsi:type="dcterms:W3CDTF">2023-06-14T13:11:04Z</dcterms:created>
  <dcterms:modified xsi:type="dcterms:W3CDTF">2023-06-30T10:29:51Z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